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SPOA\CGRL\CEOF\CEOF\ARQUIVO 2019\EXECUÇÃO ORÇAMENTÁRIA E FINANCEIRA\INFORMAÇÕES DE CONTRATOS\6 - Contratos da CGRL - Valores pagos de 2003 a 2019\"/>
    </mc:Choice>
  </mc:AlternateContent>
  <bookViews>
    <workbookView xWindow="0" yWindow="0" windowWidth="28800" windowHeight="12435" firstSheet="2" activeTab="2"/>
  </bookViews>
  <sheets>
    <sheet name="JAN.17 a FEV.18" sheetId="1" r:id="rId1"/>
    <sheet name="MAR.18 e JAN.19" sheetId="2" r:id="rId2"/>
    <sheet name="JAN.19 e DEZ.19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</externalReferences>
  <definedNames>
    <definedName name="_xlnm._FilterDatabase" localSheetId="0" hidden="1">'JAN.17 a FEV.18'!$B$4:$U$96</definedName>
    <definedName name="_xlnm._FilterDatabase" localSheetId="2" hidden="1">'JAN.19 e DEZ.19'!$C$2:$J$122</definedName>
    <definedName name="_xlnm._FilterDatabase" localSheetId="1" hidden="1">'MAR.18 e JAN.19'!$C$4:$J$170</definedName>
  </definedNames>
  <calcPr calcId="152511"/>
</workbook>
</file>

<file path=xl/calcChain.xml><?xml version="1.0" encoding="utf-8"?>
<calcChain xmlns="http://schemas.openxmlformats.org/spreadsheetml/2006/main">
  <c r="S58" i="3" l="1"/>
  <c r="S68" i="3" l="1"/>
  <c r="S54" i="3" l="1"/>
  <c r="S33" i="3" l="1"/>
  <c r="S39" i="3" l="1"/>
  <c r="S27" i="3" l="1"/>
  <c r="S23" i="3" l="1"/>
  <c r="R67" i="3" l="1"/>
  <c r="R23" i="3" l="1"/>
  <c r="R102" i="3" l="1"/>
  <c r="Q53" i="3" l="1"/>
  <c r="R30" i="3" l="1"/>
  <c r="R77" i="3" l="1"/>
  <c r="M77" i="3"/>
  <c r="N77" i="3"/>
  <c r="Q77" i="3"/>
  <c r="P77" i="3"/>
  <c r="O77" i="3"/>
  <c r="Q74" i="3" l="1"/>
  <c r="R55" i="3" l="1"/>
  <c r="R110" i="3" l="1"/>
  <c r="R27" i="3" l="1"/>
  <c r="R29" i="3" l="1"/>
  <c r="R75" i="3" l="1"/>
  <c r="R31" i="3" l="1"/>
  <c r="P73" i="3" l="1"/>
  <c r="P32" i="3" l="1"/>
  <c r="P34" i="3" l="1"/>
  <c r="Q27" i="3" l="1"/>
  <c r="P27" i="3"/>
  <c r="P46" i="3" l="1"/>
  <c r="Q45" i="3" l="1"/>
  <c r="P45" i="3"/>
  <c r="Q60" i="3" l="1"/>
  <c r="O61" i="3" l="1"/>
  <c r="Q71" i="3" l="1"/>
  <c r="P71" i="3"/>
  <c r="R44" i="3" l="1"/>
  <c r="Q43" i="3" l="1"/>
  <c r="O43" i="3"/>
  <c r="Q28" i="3" l="1"/>
  <c r="P28" i="3"/>
  <c r="Q23" i="3" l="1"/>
  <c r="P23" i="3"/>
  <c r="Q39" i="3" l="1"/>
  <c r="Q68" i="3" l="1"/>
  <c r="P68" i="3"/>
  <c r="Q75" i="3" l="1"/>
  <c r="P75" i="3"/>
  <c r="Q25" i="3" l="1"/>
  <c r="Q82" i="3" l="1"/>
  <c r="Q98" i="3"/>
  <c r="Q110" i="3"/>
  <c r="P110" i="3"/>
  <c r="O83" i="3"/>
  <c r="Q21" i="3" l="1"/>
  <c r="P67" i="3" l="1"/>
  <c r="R76" i="3" l="1"/>
  <c r="P76" i="3"/>
  <c r="P53" i="3" l="1"/>
  <c r="Q52" i="3" l="1"/>
  <c r="P52" i="3"/>
  <c r="Q58" i="3" l="1"/>
  <c r="P58" i="3"/>
  <c r="Q55" i="3" l="1"/>
  <c r="P55" i="3"/>
  <c r="Q22" i="3" l="1"/>
  <c r="P22" i="3"/>
  <c r="Q31" i="3" l="1"/>
  <c r="P31" i="3"/>
  <c r="Q36" i="3" l="1"/>
  <c r="P36" i="3"/>
  <c r="Q29" i="3" l="1"/>
  <c r="P29" i="3"/>
  <c r="Q59" i="3" l="1"/>
  <c r="P59" i="3"/>
  <c r="P20" i="3" l="1"/>
  <c r="O15" i="3" l="1"/>
  <c r="O9" i="3" l="1"/>
  <c r="Q4" i="3" l="1"/>
  <c r="Q3" i="3" l="1"/>
  <c r="P3" i="3"/>
  <c r="O104" i="3" l="1"/>
  <c r="O103" i="3"/>
  <c r="O102" i="3"/>
  <c r="O101" i="3" l="1"/>
  <c r="N101" i="3"/>
  <c r="O68" i="3" l="1"/>
  <c r="O58" i="3" l="1"/>
  <c r="O55" i="3" l="1"/>
  <c r="O45" i="3" l="1"/>
  <c r="O44" i="3" l="1"/>
  <c r="O36" i="3" l="1"/>
  <c r="O35" i="3" l="1"/>
  <c r="O32" i="3" l="1"/>
  <c r="O29" i="3" l="1"/>
  <c r="O27" i="3" l="1"/>
  <c r="O24" i="3" l="1"/>
  <c r="O3" i="3" l="1"/>
  <c r="O59" i="3" l="1"/>
  <c r="N117" i="3" l="1"/>
  <c r="N114" i="3"/>
  <c r="N96" i="3" l="1"/>
  <c r="N90" i="3" l="1"/>
  <c r="N83" i="3"/>
  <c r="N82" i="3"/>
  <c r="N71" i="3" l="1"/>
  <c r="N68" i="3" l="1"/>
  <c r="N61" i="3" l="1"/>
  <c r="N59" i="3" l="1"/>
  <c r="N58" i="3" l="1"/>
  <c r="N55" i="3" l="1"/>
  <c r="N47" i="3" l="1"/>
  <c r="N46" i="3" l="1"/>
  <c r="N44" i="3" l="1"/>
  <c r="N33" i="3" l="1"/>
  <c r="N29" i="3" l="1"/>
  <c r="N27" i="3" l="1"/>
  <c r="N4" i="3" l="1"/>
  <c r="N64" i="3" l="1"/>
  <c r="N102" i="3" l="1"/>
  <c r="K102" i="3"/>
  <c r="M99" i="3" l="1"/>
  <c r="K96" i="3" l="1"/>
  <c r="M96" i="3"/>
  <c r="N76" i="3" l="1"/>
  <c r="M76" i="3"/>
  <c r="M68" i="3" l="1"/>
  <c r="L68" i="3"/>
  <c r="N67" i="3" l="1"/>
  <c r="M67" i="3"/>
  <c r="K67" i="3"/>
  <c r="L61" i="3" l="1"/>
  <c r="M58" i="3" l="1"/>
  <c r="M55" i="3" l="1"/>
  <c r="M46" i="3" l="1"/>
  <c r="N45" i="3" l="1"/>
  <c r="M45" i="3"/>
  <c r="M39" i="3" l="1"/>
  <c r="M38" i="3" l="1"/>
  <c r="M34" i="3" l="1"/>
  <c r="M31" i="3" l="1"/>
  <c r="M29" i="3" l="1"/>
  <c r="M28" i="3" l="1"/>
  <c r="M27" i="3" l="1"/>
  <c r="M23" i="3" l="1"/>
  <c r="K23" i="3"/>
  <c r="L23" i="3"/>
  <c r="M22" i="3" l="1"/>
  <c r="L22" i="3"/>
  <c r="K22" i="3"/>
  <c r="M3" i="3" l="1"/>
  <c r="L73" i="3" l="1"/>
  <c r="L34" i="3"/>
  <c r="U130" i="2" l="1"/>
  <c r="T130" i="2"/>
  <c r="T117" i="2" l="1"/>
  <c r="T93" i="2" l="1"/>
  <c r="U90" i="2" l="1"/>
  <c r="T90" i="2"/>
  <c r="S90" i="2"/>
  <c r="K76" i="3" l="1"/>
  <c r="U88" i="2"/>
  <c r="T88" i="2"/>
  <c r="K73" i="3" l="1"/>
  <c r="U85" i="2"/>
  <c r="T81" i="2" l="1"/>
  <c r="T78" i="2" l="1"/>
  <c r="S78" i="2"/>
  <c r="R78" i="2"/>
  <c r="T71" i="2" l="1"/>
  <c r="U66" i="2" l="1"/>
  <c r="T66" i="2"/>
  <c r="U65" i="2" l="1"/>
  <c r="K51" i="3" l="1"/>
  <c r="U61" i="2"/>
  <c r="T60" i="2" l="1"/>
  <c r="K47" i="3" l="1"/>
  <c r="U57" i="2" l="1"/>
  <c r="K45" i="3" l="1"/>
  <c r="U53" i="2"/>
  <c r="K44" i="3" l="1"/>
  <c r="U52" i="2"/>
  <c r="T51" i="2" l="1"/>
  <c r="T32" i="2" l="1"/>
  <c r="U30" i="2" l="1"/>
  <c r="K31" i="3" l="1"/>
  <c r="U27" i="2"/>
  <c r="K30" i="3" l="1"/>
  <c r="U26" i="2"/>
  <c r="U22" i="2" l="1"/>
  <c r="T22" i="2"/>
  <c r="T21" i="2" l="1"/>
  <c r="U19" i="2" l="1"/>
  <c r="T19" i="2"/>
  <c r="K5" i="3" l="1"/>
  <c r="K4" i="3"/>
  <c r="K3" i="3"/>
  <c r="U10" i="2"/>
  <c r="U8" i="2" l="1"/>
  <c r="U5" i="2" l="1"/>
  <c r="T74" i="2" l="1"/>
  <c r="S66" i="2" l="1"/>
  <c r="R66" i="2"/>
  <c r="Q66" i="2"/>
  <c r="O66" i="2"/>
  <c r="M66" i="2"/>
  <c r="S141" i="2" l="1"/>
  <c r="S130" i="2" l="1"/>
  <c r="R90" i="2" l="1"/>
  <c r="T89" i="2" l="1"/>
  <c r="R89" i="2"/>
  <c r="R88" i="2" l="1"/>
  <c r="T85" i="2" l="1"/>
  <c r="T83" i="2" l="1"/>
  <c r="S83" i="2"/>
  <c r="S81" i="2" l="1"/>
  <c r="S80" i="2" l="1"/>
  <c r="T76" i="2" l="1"/>
  <c r="S71" i="2" l="1"/>
  <c r="T65" i="2" l="1"/>
  <c r="S65" i="2"/>
  <c r="S61" i="2" l="1"/>
  <c r="S59" i="2" l="1"/>
  <c r="S58" i="2" l="1"/>
  <c r="S57" i="2" l="1"/>
  <c r="T53" i="2" l="1"/>
  <c r="S53" i="2"/>
  <c r="S52" i="2" l="1"/>
  <c r="S51" i="2" l="1"/>
  <c r="S38" i="2" l="1"/>
  <c r="T33" i="2" l="1"/>
  <c r="S33" i="2"/>
  <c r="T27" i="2" l="1"/>
  <c r="S27" i="2"/>
  <c r="T25" i="2" l="1"/>
  <c r="S25" i="2"/>
  <c r="T23" i="2" l="1"/>
  <c r="S23" i="2"/>
  <c r="S22" i="2" l="1"/>
  <c r="R21" i="2" l="1"/>
  <c r="S16" i="2" l="1"/>
  <c r="S14" i="2" l="1"/>
  <c r="T8" i="2" l="1"/>
  <c r="S5" i="2" l="1"/>
  <c r="P5" i="2"/>
  <c r="Q5" i="2"/>
  <c r="P90" i="2" l="1"/>
  <c r="R170" i="2" l="1"/>
  <c r="Q28" i="2" l="1"/>
  <c r="P28" i="2"/>
  <c r="R85" i="2" l="1"/>
  <c r="Q85" i="2"/>
  <c r="P31" i="2" l="1"/>
  <c r="R23" i="2" l="1"/>
  <c r="Q23" i="2"/>
  <c r="P23" i="2"/>
  <c r="Q58" i="2" l="1"/>
  <c r="P56" i="2" l="1"/>
  <c r="P7" i="2" l="1"/>
  <c r="R53" i="2" l="1"/>
  <c r="Q53" i="2"/>
  <c r="Q70" i="2" l="1"/>
  <c r="P70" i="2"/>
  <c r="R75" i="2" l="1"/>
  <c r="Q83" i="2" l="1"/>
  <c r="P83" i="2"/>
  <c r="P52" i="2" l="1"/>
  <c r="Q51" i="2" l="1"/>
  <c r="P51" i="2"/>
  <c r="R24" i="2" l="1"/>
  <c r="Q24" i="2"/>
  <c r="P24" i="2"/>
  <c r="Q137" i="2" l="1"/>
  <c r="R93" i="2" l="1"/>
  <c r="Q93" i="2"/>
  <c r="R29" i="2" l="1"/>
  <c r="Q21" i="2" l="1"/>
  <c r="P21" i="2"/>
  <c r="R13" i="2" l="1"/>
  <c r="R81" i="2" l="1"/>
  <c r="Q81" i="2"/>
  <c r="P81" i="2"/>
  <c r="R22" i="2" l="1"/>
  <c r="Q22" i="2"/>
  <c r="P22" i="2"/>
  <c r="Q18" i="2" l="1"/>
  <c r="Q116" i="2" l="1"/>
  <c r="P116" i="2"/>
  <c r="P41" i="2"/>
  <c r="Q140" i="2" l="1"/>
  <c r="Q80" i="2" l="1"/>
  <c r="Q88" i="2" l="1"/>
  <c r="P88" i="2"/>
  <c r="P59" i="2" l="1"/>
  <c r="P61" i="2" l="1"/>
  <c r="R60" i="2" l="1"/>
  <c r="P60" i="2"/>
  <c r="P71" i="2" l="1"/>
  <c r="R71" i="2"/>
  <c r="R76" i="2" l="1"/>
  <c r="R65" i="2" l="1"/>
  <c r="Q65" i="2"/>
  <c r="P65" i="2"/>
  <c r="R19" i="2" l="1"/>
  <c r="Q19" i="2"/>
  <c r="P19" i="2"/>
  <c r="Q138" i="2" l="1"/>
  <c r="Q89" i="2" l="1"/>
  <c r="R27" i="2" l="1"/>
  <c r="Q27" i="2"/>
  <c r="P27" i="2"/>
  <c r="Q33" i="2" l="1"/>
  <c r="R25" i="2" l="1"/>
  <c r="Q25" i="2"/>
  <c r="P72" i="2" l="1"/>
  <c r="P38" i="2" l="1"/>
  <c r="O90" i="2" l="1"/>
  <c r="M90" i="2"/>
  <c r="O170" i="2"/>
  <c r="N170" i="2"/>
  <c r="M170" i="2"/>
  <c r="O20" i="2" l="1"/>
  <c r="M20" i="2"/>
  <c r="M55" i="2" l="1"/>
  <c r="M28" i="2" l="1"/>
  <c r="O85" i="2" l="1"/>
  <c r="N85" i="2"/>
  <c r="O31" i="2" l="1"/>
  <c r="N31" i="2"/>
  <c r="M31" i="2"/>
  <c r="O23" i="2" l="1"/>
  <c r="N23" i="2"/>
  <c r="M23" i="2"/>
  <c r="O58" i="2" l="1"/>
  <c r="O56" i="2" l="1"/>
  <c r="N56" i="2"/>
  <c r="M56" i="2"/>
  <c r="P53" i="2" l="1"/>
  <c r="O53" i="2"/>
  <c r="M53" i="2"/>
  <c r="M74" i="2" l="1"/>
  <c r="P75" i="2" l="1"/>
  <c r="N75" i="2"/>
  <c r="O83" i="2" l="1"/>
  <c r="N83" i="2"/>
  <c r="M83" i="2"/>
  <c r="O52" i="2" l="1"/>
  <c r="M52" i="2"/>
  <c r="O51" i="2" l="1"/>
  <c r="O32" i="2" l="1"/>
  <c r="O10" i="2" l="1"/>
  <c r="M10" i="2"/>
  <c r="N6" i="2" l="1"/>
  <c r="O130" i="2" l="1"/>
  <c r="N130" i="2"/>
  <c r="O24" i="2" l="1"/>
  <c r="N24" i="2"/>
  <c r="M24" i="2"/>
  <c r="N8" i="2" l="1"/>
  <c r="M8" i="2"/>
  <c r="O93" i="2" l="1"/>
  <c r="N93" i="2"/>
  <c r="M93" i="2"/>
  <c r="O21" i="2" l="1"/>
  <c r="N21" i="2"/>
  <c r="M38" i="2" l="1"/>
  <c r="O81" i="2" l="1"/>
  <c r="N81" i="2"/>
  <c r="M81" i="2" l="1"/>
  <c r="O5" i="2" l="1"/>
  <c r="N5" i="2"/>
  <c r="M5" i="2"/>
  <c r="O22" i="2" l="1"/>
  <c r="N22" i="2"/>
  <c r="M22" i="2"/>
  <c r="N30" i="2" l="1"/>
  <c r="M30" i="2"/>
  <c r="M132" i="2" l="1"/>
  <c r="O91" i="2"/>
  <c r="M91" i="2"/>
  <c r="N80" i="2" l="1"/>
  <c r="N135" i="2" l="1"/>
  <c r="O86" i="2" l="1"/>
  <c r="O88" i="2" l="1"/>
  <c r="M88" i="2"/>
  <c r="N26" i="2" l="1"/>
  <c r="O61" i="2" l="1"/>
  <c r="N61" i="2"/>
  <c r="M61" i="2"/>
  <c r="L60" i="2" l="1"/>
  <c r="M60" i="2"/>
  <c r="O59" i="2" l="1"/>
  <c r="N59" i="2"/>
  <c r="M59" i="2"/>
  <c r="O65" i="2" l="1"/>
  <c r="N65" i="2"/>
  <c r="M65" i="2"/>
  <c r="O19" i="2" l="1"/>
  <c r="M19" i="2"/>
  <c r="M89" i="2" l="1"/>
  <c r="O27" i="2" l="1"/>
  <c r="N27" i="2"/>
  <c r="M27" i="2"/>
  <c r="O25" i="2" l="1"/>
  <c r="N25" i="2"/>
  <c r="M25" i="2"/>
  <c r="L90" i="2" l="1"/>
  <c r="K90" i="2"/>
  <c r="L28" i="2" l="1"/>
  <c r="K28" i="2"/>
  <c r="L31" i="2" l="1"/>
  <c r="K31" i="2"/>
  <c r="L23" i="2" l="1"/>
  <c r="K23" i="2"/>
  <c r="L56" i="2" l="1"/>
  <c r="L53" i="2" l="1"/>
  <c r="K53" i="2"/>
  <c r="L74" i="2" l="1"/>
  <c r="L52" i="2" l="1"/>
  <c r="K52" i="2"/>
  <c r="L51" i="2" l="1"/>
  <c r="K93" i="2" l="1"/>
  <c r="K34" i="2" l="1"/>
  <c r="L21" i="2" l="1"/>
  <c r="K21" i="2"/>
  <c r="K38" i="2" l="1"/>
  <c r="L37" i="2" l="1"/>
  <c r="K36" i="2" l="1"/>
  <c r="L35" i="2" l="1"/>
  <c r="L81" i="2" l="1"/>
  <c r="K81" i="2"/>
  <c r="L22" i="2" l="1"/>
  <c r="K22" i="2"/>
  <c r="L30" i="2" l="1"/>
  <c r="K30" i="2"/>
  <c r="L148" i="2" l="1"/>
  <c r="K86" i="2" l="1"/>
  <c r="K88" i="2" l="1"/>
  <c r="K60" i="2" l="1"/>
  <c r="K59" i="2" l="1"/>
  <c r="L77" i="2" l="1"/>
  <c r="L27" i="2" l="1"/>
  <c r="K27" i="2"/>
  <c r="L25" i="2" l="1"/>
  <c r="K25" i="2"/>
  <c r="L72" i="2" l="1"/>
  <c r="K72" i="2"/>
  <c r="W79" i="1" l="1"/>
  <c r="V79" i="1"/>
  <c r="W49" i="1" l="1"/>
  <c r="V49" i="1"/>
  <c r="W29" i="1" l="1"/>
  <c r="V29" i="1"/>
  <c r="W34" i="1" l="1"/>
  <c r="V34" i="1"/>
  <c r="W24" i="1" l="1"/>
  <c r="V24" i="1"/>
  <c r="V17" i="1" l="1"/>
  <c r="W51" i="1" l="1"/>
  <c r="V51" i="1"/>
  <c r="W45" i="1" l="1"/>
  <c r="V45" i="1"/>
  <c r="V70" i="1" l="1"/>
  <c r="W44" i="1" l="1"/>
  <c r="W30" i="1" l="1"/>
  <c r="W68" i="1" l="1"/>
  <c r="V68" i="1"/>
  <c r="V58" i="1" l="1"/>
  <c r="W10" i="1" l="1"/>
  <c r="V10" i="1"/>
  <c r="W23" i="1" l="1"/>
  <c r="V23" i="1"/>
  <c r="W73" i="1" l="1"/>
  <c r="V73" i="1"/>
  <c r="W76" i="1" l="1"/>
  <c r="V76" i="1"/>
  <c r="V52" i="1" l="1"/>
  <c r="W54" i="1" l="1"/>
  <c r="V54" i="1"/>
  <c r="W53" i="1" l="1"/>
  <c r="V53" i="1"/>
  <c r="V56" i="1" l="1"/>
  <c r="W36" i="1" l="1"/>
  <c r="V36" i="1"/>
  <c r="V9" i="1" l="1"/>
  <c r="W26" i="1" l="1"/>
  <c r="V26" i="1"/>
  <c r="V60" i="1" l="1"/>
  <c r="R78" i="1" l="1"/>
  <c r="U77" i="1"/>
  <c r="U55" i="1" l="1"/>
  <c r="U16" i="1" l="1"/>
  <c r="U15" i="1" l="1"/>
  <c r="U79" i="1" l="1"/>
  <c r="T79" i="1"/>
  <c r="T77" i="1" l="1"/>
  <c r="U76" i="1" l="1"/>
  <c r="T76" i="1"/>
  <c r="T73" i="1" l="1"/>
  <c r="T70" i="1" l="1"/>
  <c r="U68" i="1" l="1"/>
  <c r="T68" i="1"/>
  <c r="U67" i="1" l="1"/>
  <c r="T67" i="1"/>
  <c r="U61" i="1" l="1"/>
  <c r="T60" i="1" l="1"/>
  <c r="U59" i="1" l="1"/>
  <c r="T58" i="1" l="1"/>
  <c r="U56" i="1" l="1"/>
  <c r="T56" i="1"/>
  <c r="T55" i="1" l="1"/>
  <c r="U62" i="1" l="1"/>
  <c r="U54" i="1" l="1"/>
  <c r="T54" i="1"/>
  <c r="U53" i="1" l="1"/>
  <c r="T53" i="1"/>
  <c r="U49" i="1" l="1"/>
  <c r="T49" i="1"/>
  <c r="U45" i="1" l="1"/>
  <c r="T45" i="1"/>
  <c r="U44" i="1" l="1"/>
  <c r="T44" i="1"/>
  <c r="U43" i="1" l="1"/>
  <c r="U37" i="1" l="1"/>
  <c r="U35" i="1" l="1"/>
  <c r="T32" i="1" l="1"/>
  <c r="U30" i="1" l="1"/>
  <c r="T30" i="1"/>
  <c r="U28" i="1" l="1"/>
  <c r="T28" i="1"/>
  <c r="T27" i="1" l="1"/>
  <c r="U26" i="1" l="1"/>
  <c r="T26" i="1"/>
  <c r="U24" i="1" l="1"/>
  <c r="T24" i="1"/>
  <c r="U23" i="1" l="1"/>
  <c r="T23" i="1"/>
  <c r="S22" i="1" l="1"/>
  <c r="U22" i="1"/>
  <c r="T22" i="1"/>
  <c r="S76" i="1" l="1"/>
  <c r="S72" i="1" l="1"/>
  <c r="S70" i="1" l="1"/>
  <c r="S68" i="1" l="1"/>
  <c r="S63" i="1" l="1"/>
  <c r="S59" i="1" l="1"/>
  <c r="S56" i="1" l="1"/>
  <c r="O56" i="1"/>
  <c r="N56" i="1"/>
  <c r="M56" i="1"/>
  <c r="L56" i="1"/>
  <c r="K56" i="1"/>
  <c r="J56" i="1"/>
  <c r="R56" i="1"/>
  <c r="S55" i="1" l="1"/>
  <c r="S54" i="1" l="1"/>
  <c r="S45" i="1" l="1"/>
  <c r="S32" i="1" l="1"/>
  <c r="S24" i="1" l="1"/>
  <c r="S23" i="1" l="1"/>
  <c r="Q79" i="1" l="1"/>
  <c r="R79" i="1"/>
  <c r="R77" i="1" l="1"/>
  <c r="R76" i="1" l="1"/>
  <c r="R70" i="1" l="1"/>
  <c r="R68" i="1" l="1"/>
  <c r="R67" i="1" l="1"/>
  <c r="R62" i="1" l="1"/>
  <c r="Q62" i="1"/>
  <c r="R60" i="1" l="1"/>
  <c r="R58" i="1" l="1"/>
  <c r="R55" i="1" l="1"/>
  <c r="R54" i="1" l="1"/>
  <c r="J54" i="1"/>
  <c r="R53" i="1" l="1"/>
  <c r="R52" i="1" l="1"/>
  <c r="R51" i="1" l="1"/>
  <c r="R50" i="1" l="1"/>
  <c r="R49" i="1" l="1"/>
  <c r="R48" i="1" l="1"/>
  <c r="R46" i="1" l="1"/>
  <c r="R45" i="1" l="1"/>
  <c r="R44" i="1" l="1"/>
  <c r="R43" i="1" l="1"/>
  <c r="R39" i="1" l="1"/>
  <c r="R37" i="1" l="1"/>
  <c r="R36" i="1" l="1"/>
  <c r="R34" i="1" l="1"/>
  <c r="R31" i="1" l="1"/>
  <c r="R30" i="1" l="1"/>
  <c r="R29" i="1" l="1"/>
  <c r="R26" i="1" l="1"/>
  <c r="R24" i="1" l="1"/>
  <c r="R23" i="1" l="1"/>
  <c r="R22" i="1" l="1"/>
  <c r="Q22" i="1"/>
  <c r="P22" i="1"/>
  <c r="O22" i="1"/>
  <c r="Q49" i="1" l="1"/>
  <c r="Q29" i="1" l="1"/>
  <c r="Q24" i="1" l="1"/>
  <c r="Q51" i="1" l="1"/>
  <c r="Q31" i="1" l="1"/>
  <c r="Q45" i="1" l="1"/>
  <c r="P45" i="1"/>
  <c r="Q70" i="1" l="1"/>
  <c r="Q25" i="1" l="1"/>
  <c r="Q30" i="1" l="1"/>
  <c r="Q68" i="1" l="1"/>
  <c r="Q58" i="1" l="1"/>
  <c r="P23" i="1" l="1"/>
  <c r="O23" i="1"/>
  <c r="N23" i="1"/>
  <c r="M23" i="1"/>
  <c r="K23" i="1"/>
  <c r="Q32" i="1" l="1"/>
  <c r="Q76" i="1" l="1"/>
  <c r="Q52" i="1" l="1"/>
  <c r="Q53" i="1" l="1"/>
  <c r="Q28" i="1" l="1"/>
  <c r="Q26" i="1" l="1"/>
  <c r="Q55" i="1" l="1"/>
  <c r="P55" i="1"/>
  <c r="Q59" i="1" l="1"/>
  <c r="P25" i="1" l="1"/>
  <c r="N25" i="1"/>
  <c r="L25" i="1"/>
  <c r="K25" i="1"/>
  <c r="P26" i="1" l="1"/>
  <c r="O26" i="1"/>
  <c r="N26" i="1"/>
  <c r="M26" i="1"/>
  <c r="L26" i="1"/>
  <c r="K26" i="1"/>
  <c r="J26" i="1"/>
  <c r="P76" i="1" l="1"/>
  <c r="O76" i="1"/>
  <c r="N76" i="1"/>
  <c r="M76" i="1"/>
  <c r="O75" i="1" l="1"/>
  <c r="P73" i="1" l="1"/>
  <c r="O73" i="1"/>
  <c r="N73" i="1"/>
  <c r="M73" i="1"/>
  <c r="L73" i="1"/>
  <c r="O72" i="1" l="1"/>
  <c r="N72" i="1"/>
  <c r="L72" i="1"/>
  <c r="P70" i="1" l="1"/>
  <c r="O70" i="1"/>
  <c r="N70" i="1"/>
  <c r="M70" i="1"/>
  <c r="L70" i="1"/>
  <c r="M69" i="1" l="1"/>
  <c r="P68" i="1" l="1"/>
  <c r="O68" i="1"/>
  <c r="N68" i="1"/>
  <c r="M68" i="1"/>
  <c r="L68" i="1"/>
  <c r="P67" i="1" l="1"/>
  <c r="O67" i="1"/>
  <c r="P63" i="1" l="1"/>
  <c r="N63" i="1"/>
  <c r="K63" i="1"/>
  <c r="N59" i="1" l="1"/>
  <c r="P59" i="1"/>
  <c r="O59" i="1"/>
  <c r="K59" i="1"/>
  <c r="K55" i="1" l="1"/>
  <c r="J55" i="1"/>
  <c r="P54" i="1" l="1"/>
  <c r="O54" i="1"/>
  <c r="M54" i="1"/>
  <c r="L54" i="1"/>
  <c r="K54" i="1"/>
  <c r="O53" i="1" l="1"/>
  <c r="M53" i="1"/>
  <c r="K53" i="1"/>
  <c r="J53" i="1"/>
  <c r="P52" i="1" l="1"/>
  <c r="N52" i="1"/>
  <c r="M52" i="1"/>
  <c r="K52" i="1"/>
  <c r="P51" i="1" l="1"/>
  <c r="O51" i="1"/>
  <c r="N51" i="1"/>
  <c r="M51" i="1"/>
  <c r="K51" i="1"/>
  <c r="J51" i="1"/>
  <c r="P49" i="1" l="1"/>
  <c r="O49" i="1"/>
  <c r="N49" i="1"/>
  <c r="M49" i="1"/>
  <c r="L49" i="1"/>
  <c r="K49" i="1"/>
  <c r="O45" i="1" l="1"/>
  <c r="N45" i="1"/>
  <c r="M45" i="1"/>
  <c r="L45" i="1"/>
  <c r="K45" i="1"/>
  <c r="J45" i="1"/>
  <c r="P38" i="1" l="1"/>
  <c r="K38" i="1"/>
  <c r="P37" i="1" l="1"/>
  <c r="O37" i="1"/>
  <c r="N37" i="1"/>
  <c r="L37" i="1"/>
  <c r="K37" i="1"/>
  <c r="J37" i="1"/>
  <c r="P36" i="1" l="1"/>
  <c r="O36" i="1"/>
  <c r="N36" i="1"/>
  <c r="M36" i="1"/>
  <c r="L36" i="1"/>
  <c r="K36" i="1"/>
  <c r="J36" i="1"/>
  <c r="N35" i="1" l="1"/>
  <c r="P34" i="1" l="1"/>
  <c r="O34" i="1"/>
  <c r="N34" i="1"/>
  <c r="M34" i="1"/>
  <c r="L34" i="1"/>
  <c r="K34" i="1"/>
  <c r="J34" i="1"/>
  <c r="P32" i="1" l="1"/>
  <c r="O32" i="1"/>
  <c r="N32" i="1"/>
  <c r="M32" i="1"/>
  <c r="P31" i="1" l="1"/>
  <c r="O31" i="1"/>
  <c r="N31" i="1"/>
  <c r="M31" i="1"/>
  <c r="L31" i="1"/>
  <c r="J31" i="1"/>
  <c r="P30" i="1" l="1"/>
  <c r="N30" i="1"/>
  <c r="M30" i="1"/>
  <c r="L30" i="1"/>
  <c r="K30" i="1"/>
  <c r="O29" i="1" l="1"/>
  <c r="N29" i="1"/>
  <c r="O28" i="1" l="1"/>
  <c r="N28" i="1"/>
  <c r="M28" i="1"/>
  <c r="L28" i="1"/>
  <c r="K28" i="1"/>
  <c r="M27" i="1" l="1"/>
  <c r="P24" i="1" l="1"/>
  <c r="O24" i="1"/>
  <c r="N24" i="1"/>
  <c r="L24" i="1"/>
  <c r="K24" i="1"/>
</calcChain>
</file>

<file path=xl/sharedStrings.xml><?xml version="1.0" encoding="utf-8"?>
<sst xmlns="http://schemas.openxmlformats.org/spreadsheetml/2006/main" count="2723" uniqueCount="937">
  <si>
    <t>Nº DOC</t>
  </si>
  <si>
    <t>ANO</t>
  </si>
  <si>
    <t>MODALIDADE</t>
  </si>
  <si>
    <t>FAVORECIDO</t>
  </si>
  <si>
    <t>CNPJ</t>
  </si>
  <si>
    <t>PROCESSO</t>
  </si>
  <si>
    <t>OBJETO</t>
  </si>
  <si>
    <t>VIGÊNCIA FINAL</t>
  </si>
  <si>
    <t>FSB COMUNICAÇÃO</t>
  </si>
  <si>
    <t>03.585.183/0001-42</t>
  </si>
  <si>
    <t>72031.001315/2017-74</t>
  </si>
  <si>
    <t>035/2014</t>
  </si>
  <si>
    <t>Pregão Eletrônico</t>
  </si>
  <si>
    <t>TELLUS S/A</t>
  </si>
  <si>
    <t>24.935.454/0001-12</t>
  </si>
  <si>
    <t>72031.000330/2017-03</t>
  </si>
  <si>
    <t>Contratação de empresa especializada em prestação de serviços de gestão, operação, administração, projeto, implementação, implantação, treinamento, suporte técnico e operacional aos servidores e colaboradores da instituição, atendimento a turistas e cidadãos em geral, através de atendimento receptivo e ativo da Central de Atendimento do Ministério do Turismo – MTur nas formas eletrônica e humana, assim como serviços especializados por demanda, abrangendo instalações físicas, infraestrutura de engenharia de redes locais de computadores e rede interna (elétrica e cabeamento estruturado), disponibilização e sustentação dos sistemas informatizados para gestão dos atendimentos, adequações ambientais, engenharia de telecomunicações (equipamentos da plataforma de comunicação de voz e integração CTI - Computer Telephony Integration), equipamentos, aplicativos (hardware e software), mobiliário, recursos humanos e demais recursos necessários à prestação dos serviços, de acordo com as condições expressas no Edital e em seus anexos, visando atender as demandas do MTur.</t>
  </si>
  <si>
    <t>008/2015</t>
  </si>
  <si>
    <t>CLIP E CLIPPING LTDA - EPP</t>
  </si>
  <si>
    <t>01.658.889/0001-61</t>
  </si>
  <si>
    <t>72031.000467/2017-50</t>
  </si>
  <si>
    <t>Contratação de empresa especializada em Clipping de Vídeo para a prestação dos serviços de fornecimento de assinatura de um Banco de Dados atualizado diariamente, contendo imagens, som e textos, conforme especificações constantes no Edital e seus anexos.</t>
  </si>
  <si>
    <t>010/2015</t>
  </si>
  <si>
    <t>ASC SERVIÇOS PROFISSIONAIS</t>
  </si>
  <si>
    <t>02.961.711/0001-58</t>
  </si>
  <si>
    <t>72031.000621/2017-93
72031.000982/2017-30</t>
  </si>
  <si>
    <t>Prestação de serviços de apoio às atividades administrativas, por demanda, a serem executados de forma contínua, no âmbito do Ministério do Turismo, de copeiras, garçons e encarregado geral, conforme condições, quantidades e exigências estabelecidas no Edital e seus Anexos.</t>
  </si>
  <si>
    <t>011/2015</t>
  </si>
  <si>
    <t>VISÃO</t>
  </si>
  <si>
    <t>01.708.458/0001-62</t>
  </si>
  <si>
    <t>72031.000621/2017-93</t>
  </si>
  <si>
    <t>Prestação de serviços de apoio às atividades administrativas, por demanda, a serem executados de forma contínua, no âmbito do Ministério do Turismo, de recepcionistas, Office Boy/Contínuo e encarregado geral conforme condições, quantidades e exigências estabelecidas no Edital e seus Anexos.</t>
  </si>
  <si>
    <t>004/2016</t>
  </si>
  <si>
    <t>HEPTA TECNOLOGIA</t>
  </si>
  <si>
    <t>37.057.387/0001-22</t>
  </si>
  <si>
    <t>72031.001583/2017-86</t>
  </si>
  <si>
    <t>Contratação de prestação de serviços de sustentação da infraestrutura de TI do Ministério do Turismo englobando: manter a disponibilidade do ambiente de infraestrutura tecnológico do Ministério do Turismo por meio das seguintes atividades: otimizar e garantir alto desempenho do ambiente de rede, criar e manter o ambiente de virtualização, montar e configurar clusters, garantir a segurança da informação, realizar instalação de servidor Linux/Windows, criar imagens de sistemas operacionais para desktops, instalar/atualizar/remover softwares corporativos, apoiar na criação de normas e padrões relacionados a redes, realizar backups e restores, manter a disponibilidade, segurança e integridade e funcionamento do banco de dados, gerenciar, instalar e remover fisicamente ativos dentro do datacenter do Ministério do Turismo e desempenhar outras atividades, conforme o quadro de tarefas contido no anexo I do Termo de Referência e condições expressas neste Edital e em seus anexos, visando atender as demandas do MTur.</t>
  </si>
  <si>
    <t>019/2012</t>
  </si>
  <si>
    <t>SAMIO BANDEIRA ME</t>
  </si>
  <si>
    <t>14.860.358/0001-07</t>
  </si>
  <si>
    <t>72031.006248/2012-70</t>
  </si>
  <si>
    <t>Prestação de serviços no fornecimento e entrega diária de jornais e revistas, bem como o fornecimento das senhas de acesso on line de todos os periódicos que disponibilizem esse serviço, conforme quantidade e especificações descritas no Edital e seus Anexos, a ser prestado para o CONTRATANTE.</t>
  </si>
  <si>
    <t>029/2012</t>
  </si>
  <si>
    <t>Inexigibilidade</t>
  </si>
  <si>
    <t>EBC - EMPRESA BRASILEIRA DE COMUNICAÇÃO S.A.</t>
  </si>
  <si>
    <t>09.168.704/0001-42</t>
  </si>
  <si>
    <t>72030.000469/2012-44</t>
  </si>
  <si>
    <t>Distribuição, pela CONTRATADA, da publicidade legal de interesse do CONTRATANTE nos Jornais de Circulação Nacional, excluindo-se a distribuição de publicidade legal feita nos órgãos ou veículos de divulgação oficiais da União, dos Estados, do Distrito Federal e dos Municípios.</t>
  </si>
  <si>
    <t>016/2014</t>
  </si>
  <si>
    <t>UNIFY – SOLUÇÕES EM TECNOLOGIA DA INFORMAÇÃO LTDA</t>
  </si>
  <si>
    <t>67.071.001/0003-60</t>
  </si>
  <si>
    <t>72045.000027/2014-09</t>
  </si>
  <si>
    <t>Prestação de serviços de ampliação, atualização, virtualização e suporte técnico da solução de Telefonia VoIP do CONTRATANTE, conforme especificações técnicas descritas no Edital e seus anexos.</t>
  </si>
  <si>
    <t>022/2014</t>
  </si>
  <si>
    <t>Adesão a ARP</t>
  </si>
  <si>
    <t>NIVA TECNOLOGIA DA INFORMAÇÃO LTDA-ME</t>
  </si>
  <si>
    <t>09.053.350/0001-90</t>
  </si>
  <si>
    <t>72045.000043/2014-93</t>
  </si>
  <si>
    <t>Contratação de empresa especializada em tecnologia da informação para fornecimento e implantação de solução de armazenamento e cópia de segurança de dados, com garantia (suporte e manutenção) da solução de 48 (quarenta e oito) meses, incluindo serviço de instalação e configuração e serviço de transferência de conhecimento, para o Ministério do Turismo – MTur. (STORAGE)</t>
  </si>
  <si>
    <t>029/2014</t>
  </si>
  <si>
    <t>ASC SERVICE SEGURANÇA</t>
  </si>
  <si>
    <t>08.875.253/0001-10</t>
  </si>
  <si>
    <t>72030.000236/2014-11</t>
  </si>
  <si>
    <t>Prestação de serviços de apoio as atividades administrativas de vigilância armada e desarmada, por demanda, a serem executados de forma contínua, conforme condições, quantidades e exigências estabelecidas no Edital e seus Anexos.</t>
  </si>
  <si>
    <t>001/2015</t>
  </si>
  <si>
    <t>GARTNER DO BRASIL SERVIÇOS DE PESQUISAS LTDA</t>
  </si>
  <si>
    <t>02.593.165/0001-40</t>
  </si>
  <si>
    <t>72045.000309/2014-06</t>
  </si>
  <si>
    <t>Prestação de serviços técnicos especializados de pesquisa e aconselhamento imparcial em tecnologia da informação conforme especificações do Anexo I do Edital do Pregão Eletrônico nº 05/2014.</t>
  </si>
  <si>
    <t>Dispensa de Licitação</t>
  </si>
  <si>
    <t>FIPE - FUNDAÇÃO INSTITUTO DE PESQUISAS ECONÔMICAS</t>
  </si>
  <si>
    <t>43.942.358/0001-46</t>
  </si>
  <si>
    <t>Realização de pesquisa econômica estrutural sobre a caracterização e dimensionamento do turismo internacional no Brasil – receptivo e emissivo e contagem do fluxo turístico receptivo e emissivo aéreo no Brasil, em 2016.</t>
  </si>
  <si>
    <t>011/2016</t>
  </si>
  <si>
    <t>RDJ ASSESSORIA E GESTÃO EMPRESARIAL LTDA.</t>
  </si>
  <si>
    <t>06.350.074/0001-34</t>
  </si>
  <si>
    <t>72030.000124/2016-14</t>
  </si>
  <si>
    <t>Prestação de serviços de secretariado para atender as necessidades das unidades do Mtur, de forma continuada, por demanda, conforme condições, quantidades e exigências estabelecidas no Edital e seus Anexos.</t>
  </si>
  <si>
    <t>3R – LOCAÇÃO DE VEÍCULOS E TURISMO LTDA - ME</t>
  </si>
  <si>
    <t>10.660.342/0001-91</t>
  </si>
  <si>
    <t>Prestação de serviços de Atividades Complementares, por demanda, de forma contínua, sendo Motorista Executivo e Motorista de Carro Leve.</t>
  </si>
  <si>
    <t>010/2016</t>
  </si>
  <si>
    <t>WR COMERCIAL DE ALIMENTOS E SERVIÇOS LTDA - ME</t>
  </si>
  <si>
    <t>06.091.637/0001-17</t>
  </si>
  <si>
    <t>72031.000491/2017-99</t>
  </si>
  <si>
    <t>Prestação de serviço de Atividade Complementares, por demanda, de forma contínua, de Carregador de móveis e assemelhados.</t>
  </si>
  <si>
    <t>023/2014</t>
  </si>
  <si>
    <t>SERPRO - INFOCONV</t>
  </si>
  <si>
    <t>33.683.111/0001-07</t>
  </si>
  <si>
    <t>72031.002436/2017-33</t>
  </si>
  <si>
    <t>Contratação de serviço de processamento de dados para prover informações do Cadastro de Pessoas Físicas – CPF e do Cadastro Nacional de Pessoas Jurídicas – CNPJ, por meio de acesso ao serviço via Web – InfoConv</t>
  </si>
  <si>
    <t>027/2014</t>
  </si>
  <si>
    <t>SERPRO - INFOVIA</t>
  </si>
  <si>
    <t>72031.002452/2017-26</t>
  </si>
  <si>
    <t>Prestação, pela CONTRATADA à CONTRATANTE, de Serviços de Tecnologia da Informação através da rede ótica que interliga os Órgãos da Administração Pública Federal - INFOVIA BRASÍLIA.</t>
  </si>
  <si>
    <t>031/2014</t>
  </si>
  <si>
    <t>33.530.486/0001-29</t>
  </si>
  <si>
    <t>Prestação de Serviço Telefônico Fixo Comutado (fixo-fixo e fixo-móvel), Longa Distância Nacional e Internacional e Discagem Direta Gratuita</t>
  </si>
  <si>
    <t>026/2013</t>
  </si>
  <si>
    <t>40.432.544/0001-47</t>
  </si>
  <si>
    <t>72031.004626/2017-95</t>
  </si>
  <si>
    <t>Prestação de serviços de Telefonia Móvel Pessoal – SMP, para comunicação de voz e dados, com fornecimento de aparelho em regime de comodato, por demanda,</t>
  </si>
  <si>
    <t>027/2013</t>
  </si>
  <si>
    <t>Prestação de serviços de Telefonia Móvel Pessoal – SMP, para comunicação de voz e dados, por demanda,</t>
  </si>
  <si>
    <t>001/2014</t>
  </si>
  <si>
    <t>ANTÔNIO VENÂNCIO DA SILVA EMPREENDIMENTOS IMOBILIÁRIOS LTDA</t>
  </si>
  <si>
    <t>00.320.523/0001-15</t>
  </si>
  <si>
    <t>72031.001693/2017-58</t>
  </si>
  <si>
    <t>Locação de imóvel de propriedade da Locadora, localizado no SCN, QD. 06, Conj. A, Bl. “A”, 10º e 11º Pavimentos, Ed. Super Center Venâncio 3000, Asa Norte - Brasília/DF</t>
  </si>
  <si>
    <t>016/2016</t>
  </si>
  <si>
    <t>CEB DISTRIBUIÇÃO S.A</t>
  </si>
  <si>
    <t>07.522.669/0001-92</t>
  </si>
  <si>
    <t>72031.000488/2017-75</t>
  </si>
  <si>
    <t>Prestação e utilização do serviço público de energia elétrica entre a distribuidora e o consumidor, de acordo com as Condições Gerais de Fornecimento de Energia Elétrica e demais regulamentos expedidos pela Agência Nacional de Energia Elétrica - ANEEL</t>
  </si>
  <si>
    <t>003/2013</t>
  </si>
  <si>
    <t>ESPAÇO &amp; FORMA</t>
  </si>
  <si>
    <t>37.977.691/0007-83</t>
  </si>
  <si>
    <t>Instalação e manutenção, por demanda, de painéis, divisórias, portas e complementos, forros e luminárias, conforme condições, quantidades e exigências estabelecidas no Termo de Referência e em seu apêndice, para uso nas instalações do CONTRATANTE.</t>
  </si>
  <si>
    <t>019/2016</t>
  </si>
  <si>
    <t>ABRANTES SOLUÇÕES LTDA</t>
  </si>
  <si>
    <t>00.928.375/0001-16</t>
  </si>
  <si>
    <t>72045.000220/2015-12</t>
  </si>
  <si>
    <t>Serviços técnicos de medição de sistemas – na modalidade de Fábrica de Métricas – dimensionados segundo a métrica de Ponto de Função de Contagem com base no Roteiro de Métricas de Software do SISP, limitado ao quantitativo máximo estimado e sem garantia de consumo mínimo.</t>
  </si>
  <si>
    <t>021/2016</t>
  </si>
  <si>
    <t>PICK UP CENTER TECNOLOGIA EM PICK UP’S E CAMINHÕES LTDA</t>
  </si>
  <si>
    <t>04.339.617/0001-97</t>
  </si>
  <si>
    <t>Prestação de serviços continuados de manutenção de veículos automotores, por demanda,</t>
  </si>
  <si>
    <t>014/2013</t>
  </si>
  <si>
    <t>00.360.305/0001-04</t>
  </si>
  <si>
    <t>72031.003025/2015-01</t>
  </si>
  <si>
    <t>Operacionalização de projetos de infraestrutura turística apoiados pelo Programa de Aceleração do Crescimento – PAC, enquadrados na Ação “Apoio a Projetos de Infraestrutura Turística”, gerida pela CONTRATANTE, lastreado com recursos consignados no Orçamento Geral da União, a título de transferência obrigatória, na forma do disposto em instrumentos a serem editados pela CONTRATANTE</t>
  </si>
  <si>
    <t>002/2015</t>
  </si>
  <si>
    <t>DMSS SOFTWARE LTDA</t>
  </si>
  <si>
    <t>02.552.009/0001-30</t>
  </si>
  <si>
    <t>72031.000049/2017-62</t>
  </si>
  <si>
    <t>Contratação de serviços de atualização (upgrade) das licenças da atual solução dos módulos do software estatístico IBM-SPSS, além do direito de atualização da ferramenta e suporte técnico, conforme especificações descritas no Edital e seus anexos.</t>
  </si>
  <si>
    <t>29/Jan/0218</t>
  </si>
  <si>
    <t>025/2016</t>
  </si>
  <si>
    <t>DANDY LOCAÇÃO</t>
  </si>
  <si>
    <t>07.446.868/0001-69</t>
  </si>
  <si>
    <t>72031.000444/2017-45</t>
  </si>
  <si>
    <t>Locação de veículos, para transporte de pessoal, com motorista, combustível e seguro total (sem franquia), de forma continuada, por demanda, para atender às necessidades do CONTRATANTE na Região Nordeste, ITEM I, conforme especificações e demais elementos, constantes do Edital e seus anexos.</t>
  </si>
  <si>
    <t>026/2016</t>
  </si>
  <si>
    <t>FAST AUTOMOTIVE</t>
  </si>
  <si>
    <t>04.201934/0001-42</t>
  </si>
  <si>
    <t>72031.000444/2017-46</t>
  </si>
  <si>
    <t>Contrato a prestação de serviços de locação de veículos, para transporte de pessoal, com motorista, combustível e seguro total (sem franquia), de forma continuada, por demanda, para atender às necessidades do CONTRATANTE em regiões brasileiras, sendo para seguintes itens: ITEM II – Região Sul; ITEM III – Região Norte e ITEM IV Região Sudeste, conforme especificações e demais elementos, constantes do Edital e seus anexos.</t>
  </si>
  <si>
    <t>005/2015</t>
  </si>
  <si>
    <t>NETSAFE CORP LTDA.</t>
  </si>
  <si>
    <t>03.476.184/0001-59</t>
  </si>
  <si>
    <t>72045.000316/2014-08</t>
  </si>
  <si>
    <t>Contratação de serviços de atualização de licenças incluindo assistência técnica, para solução integrada de segurança McAFee, conforme especificações descritas no Edital e seus anexos.</t>
  </si>
  <si>
    <t>028/2015</t>
  </si>
  <si>
    <t>Prestação de serviços pela CONTRATADA, na operacionalização dos Programas e das Ações geridos pelo CONTRATANTE, lastreados com recursos de investimentos, consignados no Orçamento Geral da União, a título de transferências voluntárias, na forma do disposto em instrumentos a serem editados pelo CONTRATANTE, conforme obrigações estabelecidas na Cláusula Segunda.</t>
  </si>
  <si>
    <t>024/2016</t>
  </si>
  <si>
    <t>PETRONORTE COMBUSTÍVEIS LTDA</t>
  </si>
  <si>
    <t>06.071.706/0001-20</t>
  </si>
  <si>
    <t>72031.00472/2017-62</t>
  </si>
  <si>
    <t>Contratação de empresa especializada no fornecimento de combustíveis, por demanda, para abastecimento dos veículos oficiais e do Grupo Gerador de Energia Elétrica Emergencial do Ministério do Turismo, em Brasília/DF</t>
  </si>
  <si>
    <t>014/2014</t>
  </si>
  <si>
    <t>VIP SERVICE</t>
  </si>
  <si>
    <t>02.605.452/0001-22</t>
  </si>
  <si>
    <t>72031.001535/2017-06</t>
  </si>
  <si>
    <t>Locação de veículos, para transporte de pessoal, com motorista, combustível e seguro total (sem franquia), de forma continuada, por demanda, para atender às necessidades do CONTRATANTE na Região Centro – Oeste – Grupo 02, conforme especificações e demais elementos, constantes do Edital e seus anexos</t>
  </si>
  <si>
    <t>001/2017</t>
  </si>
  <si>
    <t>CTX TECNOLOGIA E EQUIPAMENTOS LTDA - EPP</t>
  </si>
  <si>
    <t>72.645.872/0001-18</t>
  </si>
  <si>
    <t>72030.000521/2016-96</t>
  </si>
  <si>
    <t>Contratação de empresa especializada em prestação de serviços de manutenção preventiva, corretiva, instalação remanejamento de equipamentos e sistemas de as condicionado, sem limites de chamados, com fornecimento de peças e matérias para a realização do serviço (incluindo serviços elétricos e reparação de alvenaria), nas dependências do MTur.</t>
  </si>
  <si>
    <t>027/2016</t>
  </si>
  <si>
    <t>FUNDAÇÃO GETÚLIO VARGAS – FGV</t>
  </si>
  <si>
    <t>33.641.663/0001-44</t>
  </si>
  <si>
    <t>72031.000460/2017-38</t>
  </si>
  <si>
    <t>Contratação de serviços técnicos especializados para a realização de Sondagens de Expectativas do Consumidor – Intenção de Viagem, bem como as Sondagens Empresariais Boletim de Desempenho Econômico do Turismo – BDET e Pesquisa Anual de Conjuntura Econômica do Turismo - PACET.</t>
  </si>
  <si>
    <t>020/2016</t>
  </si>
  <si>
    <t>CTIS TECNOLOGIA S.A</t>
  </si>
  <si>
    <t>01.644.731/0001-32</t>
  </si>
  <si>
    <t>Serviços técnicos de desenvolvimento e manutenção de sistemas, compreendendo sistemas de software, sítios portais web, aplicações GIS (Geographic Information Systems), Intranet e Internet, dimensionados segundo a métrica de Análise de Pontos de Função com base no Roteiro de Métricas de Software do SISP, limitado ao quantitativo máximo estimado e sem garantia de consumo mínimo.</t>
  </si>
  <si>
    <t>PURÍSSIMA ÁGUA MINERAL LTDA</t>
  </si>
  <si>
    <t>72.602.303/0001-95</t>
  </si>
  <si>
    <t>72031.000464/2017-16</t>
  </si>
  <si>
    <t>Aquisição de água mineral acondicionada em garrafões plásticos de 20 litros, por demanda, para o exercício de 2017</t>
  </si>
  <si>
    <t>003/2017</t>
  </si>
  <si>
    <t>HBL CARIMBOS E PLACAS INDÚSTRIA E COMÉRCIO LTDA</t>
  </si>
  <si>
    <t>72.649.361/0001-74</t>
  </si>
  <si>
    <t>72031.001172/2016-10</t>
  </si>
  <si>
    <t>Contratação de empresa especializada para fornecimento de carimbos, por demanda, para o exercício de 2017.</t>
  </si>
  <si>
    <t>012/2017</t>
  </si>
  <si>
    <t>04.196.645/0001-00</t>
  </si>
  <si>
    <t>72031.000637/2017-04</t>
  </si>
  <si>
    <t>Renovação de 07 assinaturas do jornal D.O.U., Seções 1, 2 e 3, período semestral - 23/01 a 21/07/2017</t>
  </si>
  <si>
    <t>013/2017</t>
  </si>
  <si>
    <t>GRÁFICA E EDITORA POSITIVA</t>
  </si>
  <si>
    <t>37.980.687/0001-89</t>
  </si>
  <si>
    <t>72031.000342/2017-20</t>
  </si>
  <si>
    <t>Impressão de 1.000 (mil) unidades da publicação "Turismo e Sustentabilidade".</t>
  </si>
  <si>
    <t>014/2017</t>
  </si>
  <si>
    <t>APOIO PRODUCOES E TELEMARKETING LIDA - EPP</t>
  </si>
  <si>
    <t>04.214.501/0001-21</t>
  </si>
  <si>
    <t>72031.001141/2017-40</t>
  </si>
  <si>
    <t>Renovação de assinatura do sistema de Lista de Autoridades do Governo - LAG, pelo período de 12 meses.</t>
  </si>
  <si>
    <t>LUCIANO DE SOUZA PEREIRA ME</t>
  </si>
  <si>
    <t>07.841.374/0001-89</t>
  </si>
  <si>
    <t>72031.000517/2017-07</t>
  </si>
  <si>
    <t>Locação de 02 coletores de lixo</t>
  </si>
  <si>
    <t>006/2017</t>
  </si>
  <si>
    <t>EXPRESSO DIGITAL GRÁFICA RÁPIDA LTDA ME</t>
  </si>
  <si>
    <t>09.290.075/0001-29</t>
  </si>
  <si>
    <t>72031.001170/2016-21</t>
  </si>
  <si>
    <t>Confecção de cartão de visita institucional</t>
  </si>
  <si>
    <t>015/2017</t>
  </si>
  <si>
    <t>SERVCARTER INTERNATIONAL LTDA</t>
  </si>
  <si>
    <t>66.154.790/0001-78</t>
  </si>
  <si>
    <t>72031.000496/2017-11</t>
  </si>
  <si>
    <t>Comissária aérea - Aeroporto de Guarulhos-SP</t>
  </si>
  <si>
    <t>005/2017</t>
  </si>
  <si>
    <t>DIGITAL DISTRIBUIDORA COMERCIO E SERVICOS EIRELI – ME</t>
  </si>
  <si>
    <t>72031.000207/2017-84</t>
  </si>
  <si>
    <t>Aquisição caixa-arquivo, em papelão.</t>
  </si>
  <si>
    <t>007/2017</t>
  </si>
  <si>
    <t>INTERNATIONAL MEAL COMPANY ALIMENTAÇÃO S.A.</t>
  </si>
  <si>
    <t>72031.000489/2017-10</t>
  </si>
  <si>
    <t>Comissaria Aérea - Brasília-DF</t>
  </si>
  <si>
    <t>BAHIA CATERING LTDA</t>
  </si>
  <si>
    <t>72031.000509/2017-52</t>
  </si>
  <si>
    <t>Comissaria Aérea - Salvador - BA</t>
  </si>
  <si>
    <t>031/2017</t>
  </si>
  <si>
    <t>WAY - AGENCIA DE PRODUCAO LTDA - ME</t>
  </si>
  <si>
    <t>72031.004295/2017-93</t>
  </si>
  <si>
    <t>Confecção de 08 (oito) adesivos transparentes e laminados, na medida de 144x177 cm, a serem instalados na portaria privativa do MTur/MME</t>
  </si>
  <si>
    <t>032/2017</t>
  </si>
  <si>
    <t>LEADER TRADUCOES, INTERPRETACOES, TREINAMENTO E EVENTOS EIRELI - ME</t>
  </si>
  <si>
    <t>72031.004947/2017-90</t>
  </si>
  <si>
    <t>Contração de tradutor-intérprete inglês-português para atender ao Senhor Taleb Rifai, Secretário-Geral da Organização Mundial do Turismo, nos dias 10 e 11 de abril de 2017</t>
  </si>
  <si>
    <t>033/2017</t>
  </si>
  <si>
    <t>DF TURISMO E EVENTOS LTDA-ME</t>
  </si>
  <si>
    <t>72031.005156/2017-87</t>
  </si>
  <si>
    <t>Contratação de empresa especializada em organização de eventos, tendo em vista a realização do evento “ Brasil + Turismo”, realizado pelo Ministério do Turismo, com a participação do Conselho Nacional de Turismo, no dia 11 de abril de 2017 no Centro de Convenções Ulysses Guimarães, em Brasília-DF.</t>
  </si>
  <si>
    <t>034/2017</t>
  </si>
  <si>
    <t>MODULARES STANDS DE ALUMINIO LTDA ­ -EPP</t>
  </si>
  <si>
    <t>72031.005342/2017-16</t>
  </si>
  <si>
    <t>Contração de empresa especializada em Montagem de stands para o evento FIT Pantanal 2017</t>
  </si>
  <si>
    <t>023/2016</t>
  </si>
  <si>
    <t>010/2017</t>
  </si>
  <si>
    <t>72031.002293/2017-60</t>
  </si>
  <si>
    <t>-</t>
  </si>
  <si>
    <t>018/2017</t>
  </si>
  <si>
    <t>AGÊNCIA DE INTEGRAÇÃO EMPRESA ESCOLA</t>
  </si>
  <si>
    <t>01.406.617/0001-­74</t>
  </si>
  <si>
    <t>06.926.223/0001-60</t>
  </si>
  <si>
    <t>AMÉRICA TECNOLOGIA DE INFORMÁTICA E ELETROELETRÔNICOS LTDA</t>
  </si>
  <si>
    <t>032/2014</t>
  </si>
  <si>
    <t>APECÊ - SERVIÇOS GERAIS LTDA</t>
  </si>
  <si>
    <t>00.087.163/0001-53</t>
  </si>
  <si>
    <t>009/2017</t>
  </si>
  <si>
    <t>19.086.382/0001-46</t>
  </si>
  <si>
    <t>024/2013</t>
  </si>
  <si>
    <t>ECT -  EMPRESA BRASILEIRA DE CORREIOS E TELÉGRAFOS</t>
  </si>
  <si>
    <t>34.028.316/0007-07</t>
  </si>
  <si>
    <t>04.768.702/0001-70</t>
  </si>
  <si>
    <t>72031.010110/2017-80</t>
  </si>
  <si>
    <t>04.196.645/0001-00                                                                                                                                                       UG GESTÃO 110245 / 00001</t>
  </si>
  <si>
    <t>004/2014</t>
  </si>
  <si>
    <t>LEVIT COMÉRCIO, IMPORTAÇÃO E EXPORTAÇÃO DE PRODUTOS TECNOLÓGICOS LTDA – ME</t>
  </si>
  <si>
    <t>11.994.821/0001-07</t>
  </si>
  <si>
    <t>017/2017</t>
  </si>
  <si>
    <t>ORION TELECOMUNICAÇÕES ENGENHARIA S/A</t>
  </si>
  <si>
    <t>37.165.529/0001-75</t>
  </si>
  <si>
    <t>2017 - 2018</t>
  </si>
  <si>
    <t>011/2017</t>
  </si>
  <si>
    <t>PRISMA SYS INFORMÁTICA COMÉRCIO E REPRESENTAÇÃO LTDA</t>
  </si>
  <si>
    <t>38.068.664/0001-65</t>
  </si>
  <si>
    <t>72031.000986/2017-18</t>
  </si>
  <si>
    <t>016/2017</t>
  </si>
  <si>
    <t>VOETUR</t>
  </si>
  <si>
    <t>01.017.250/0001-05</t>
  </si>
  <si>
    <t>72031.010039/2017-35</t>
  </si>
  <si>
    <t>PANACOPY - OUTSOURCING</t>
  </si>
  <si>
    <t>Disp 002/2017</t>
  </si>
  <si>
    <t>Disp 021/2017</t>
  </si>
  <si>
    <t>022/2017</t>
  </si>
  <si>
    <t>Disp 008/2017</t>
  </si>
  <si>
    <t>REINALDO GALVÃO BELO DA SILVA</t>
  </si>
  <si>
    <t>12.221.915/0001-06</t>
  </si>
  <si>
    <t>TC 001/2017</t>
  </si>
  <si>
    <t>MUDANÇAS 5 ESTRELAS</t>
  </si>
  <si>
    <t>03.557.312/0001-99</t>
  </si>
  <si>
    <t>Rossi e Zorzanello</t>
  </si>
  <si>
    <t>92.081.926/0001-77</t>
  </si>
  <si>
    <t>CLARO S.A (C.T 026/2013)</t>
  </si>
  <si>
    <t>CLARO S.A (C.T 027/2013)</t>
  </si>
  <si>
    <t>Indeterminado</t>
  </si>
  <si>
    <t>CAIXA ECONÔMICA FEDERAL (C.T 014/2013)</t>
  </si>
  <si>
    <t>CAIXA ECONÔMICA FEDERAL (C.T 028/2015)</t>
  </si>
  <si>
    <t>ENGEMIL - ENGENHARIA, EMPREENDIMENTOS, MANUTENÇÃO E INSTALAÇÃO LTDA (Locação Anexo ID)</t>
  </si>
  <si>
    <t>IMPRENSA NACIONAL (T.C 001/2017)</t>
  </si>
  <si>
    <t>IMPRENSA NACIONAL (Dispensas Licitações)</t>
  </si>
  <si>
    <t>AAVIRP - Associação das Agências de Viagem de Ribeirão Preto</t>
  </si>
  <si>
    <t>72031.008134/2017-79</t>
  </si>
  <si>
    <t>026/2017</t>
  </si>
  <si>
    <t>ASSOCIAÇÃO BRASILEIRA DE AGÊNCIAS DE VIAGENS - ABAV</t>
  </si>
  <si>
    <t xml:space="preserve"> 27.287.283/0001-50</t>
  </si>
  <si>
    <t>01.868.035/0001-00</t>
  </si>
  <si>
    <t>025/2017</t>
  </si>
  <si>
    <t>13.916.553/0001-30</t>
  </si>
  <si>
    <t>CLAUDIO JOSÉ DA SILVA JUNIOR ME - Festival de João Pessoa</t>
  </si>
  <si>
    <t>Eldex Distribuidora de Jornais e Revistas</t>
  </si>
  <si>
    <t>10.719671/0001-60</t>
  </si>
  <si>
    <t>020/2017</t>
  </si>
  <si>
    <t>FLYTOUR EVENTOS E TURISMO LTDA</t>
  </si>
  <si>
    <t>18.237.465/0001-26</t>
  </si>
  <si>
    <t>024/2017</t>
  </si>
  <si>
    <t>FTN- FÓRUM DE TURISMO E NEGÓCIOS E EVENTOS LTDA</t>
  </si>
  <si>
    <t>13.346.987/0001-42</t>
  </si>
  <si>
    <t>72031.011593/2017-30</t>
  </si>
  <si>
    <t>023/2017</t>
  </si>
  <si>
    <t>72031.012215/2017-73</t>
  </si>
  <si>
    <t>LINKCON LIMITADA LTDA EPP​</t>
  </si>
  <si>
    <t>05.323.742/0001-71</t>
  </si>
  <si>
    <t>027/2017</t>
  </si>
  <si>
    <t>72031.012587/2017-08</t>
  </si>
  <si>
    <t>SEAL TELECOM COMÉRCIO E SERVIÇOS DE TELECOMUNICAÇÕES LTDA</t>
  </si>
  <si>
    <t xml:space="preserve">58.619.404/0008-14 </t>
  </si>
  <si>
    <t>CLARO S.A (CT 031.2014) - INCORPORADORA DA EMBRATEL</t>
  </si>
  <si>
    <t>019/2017</t>
  </si>
  <si>
    <t>029/2017</t>
  </si>
  <si>
    <t>Espaço Stand</t>
  </si>
  <si>
    <t>11.650.230/0001-12</t>
  </si>
  <si>
    <t>06.984.836/0001-54</t>
  </si>
  <si>
    <t>2018</t>
  </si>
  <si>
    <t>Inteligencia de Negócios</t>
  </si>
  <si>
    <t>030/2017</t>
  </si>
  <si>
    <t>Soltech - Ponto Eletronico</t>
  </si>
  <si>
    <t>10.745.021/0001-90</t>
  </si>
  <si>
    <t>YP Persianas</t>
  </si>
  <si>
    <t>05.977.006/0001-37</t>
  </si>
  <si>
    <t>036/2017</t>
  </si>
  <si>
    <t>037/2017</t>
  </si>
  <si>
    <t>042/2017</t>
  </si>
  <si>
    <t>LIMA E SILVA Transportes</t>
  </si>
  <si>
    <t>72031.004520/2017-91</t>
  </si>
  <si>
    <t>20.204.491/0001-08</t>
  </si>
  <si>
    <t>72031.007248/2017-00</t>
  </si>
  <si>
    <t>72031.014696/2017-51</t>
  </si>
  <si>
    <t>DEZ/2018</t>
  </si>
  <si>
    <t>BARCELÔ EVENTOS EIRELI - ME</t>
  </si>
  <si>
    <t>Brasoftware</t>
  </si>
  <si>
    <t>57.142.978/0001-05</t>
  </si>
  <si>
    <t>72031.000650/2016-74</t>
  </si>
  <si>
    <t>72031.009795/2017-11</t>
  </si>
  <si>
    <t>040/2017</t>
  </si>
  <si>
    <t>25.12.2018</t>
  </si>
  <si>
    <t>038/2017</t>
  </si>
  <si>
    <t>MBA Tecnologia</t>
  </si>
  <si>
    <t>05.340.845/0001-40</t>
  </si>
  <si>
    <t>72031.012969/2017-23</t>
  </si>
  <si>
    <t>ARMAZEM TURISMO</t>
  </si>
  <si>
    <t>Pregão 016.2017</t>
  </si>
  <si>
    <t>68.258.573/0001-53</t>
  </si>
  <si>
    <t>DEZ.2017</t>
  </si>
  <si>
    <t>CAESB</t>
  </si>
  <si>
    <t xml:space="preserve"> 00.082.024/0001-37      </t>
  </si>
  <si>
    <t>043/2017</t>
  </si>
  <si>
    <t>008/2018</t>
  </si>
  <si>
    <t>AVIESP - Associação das Agências de Viagens Independentes do Interior de São Paulo</t>
  </si>
  <si>
    <t>47.745.351/0001-95</t>
  </si>
  <si>
    <t>72031.002443/2018-16</t>
  </si>
  <si>
    <t>BRASOFTWARE</t>
  </si>
  <si>
    <t>72031.018856/2017-31</t>
  </si>
  <si>
    <t>002/2018</t>
  </si>
  <si>
    <t>003/2018</t>
  </si>
  <si>
    <t>72031.019193/2017-72</t>
  </si>
  <si>
    <t>VERT CONSULTORIA AMBIENTAL LTDA</t>
  </si>
  <si>
    <t>11.113.311/0001-83</t>
  </si>
  <si>
    <t>72031.002432/2018-36</t>
  </si>
  <si>
    <t>Disp 004/2018</t>
  </si>
  <si>
    <t>72031.002510/2018-01</t>
  </si>
  <si>
    <t>Dispensa 010/2018</t>
  </si>
  <si>
    <t>Dispensa 017/2018</t>
  </si>
  <si>
    <t>PROMOFOTO COMÉRCIO E IMPORTAÇÃO LTDA</t>
  </si>
  <si>
    <t>00.546.952/0001-05</t>
  </si>
  <si>
    <t>72031.002810/2018-81</t>
  </si>
  <si>
    <t>Dispensa 018/2018</t>
  </si>
  <si>
    <t xml:space="preserve">MLJ - COMERCIO DE EQUIPAMENTOS </t>
  </si>
  <si>
    <t>COMERCIAL MINAS BRASILIA</t>
  </si>
  <si>
    <t>09.208.840/0001-19</t>
  </si>
  <si>
    <t>18.768.894/0001-20</t>
  </si>
  <si>
    <t>72031.000158/2018-61</t>
  </si>
  <si>
    <t>Dispensa 024/2018</t>
  </si>
  <si>
    <t>F. PEREIRA QUEIROZ COMÉRCIO</t>
  </si>
  <si>
    <t>13.846.675/0001-80</t>
  </si>
  <si>
    <t>72031.003266/2018-95</t>
  </si>
  <si>
    <t>Dispensa 016/2018</t>
  </si>
  <si>
    <t>MAGITECH DISTRIBUIDOR DE ELETRÔNICOS</t>
  </si>
  <si>
    <t>19.910.840/0001-10</t>
  </si>
  <si>
    <t>72031.000646/2018-78</t>
  </si>
  <si>
    <t>RT COMERCIO E SERVIÇOS EIRELI - ME</t>
  </si>
  <si>
    <t>Dispensa 020/2018</t>
  </si>
  <si>
    <t>10.336.598/0001-48</t>
  </si>
  <si>
    <t>72031.001488/2018-73</t>
  </si>
  <si>
    <t>Dispensa 025/2018</t>
  </si>
  <si>
    <t>SYS COMUNICAÇÃO E TECNOLOGIA LTDA ME​</t>
  </si>
  <si>
    <t>06.259.738/0001-54</t>
  </si>
  <si>
    <t>72031.004434/2018-60</t>
  </si>
  <si>
    <t>CLEIDSON SOUSA AGUIAR</t>
  </si>
  <si>
    <t>Dispensa 093/2017</t>
  </si>
  <si>
    <t>15.236.054/0001-28</t>
  </si>
  <si>
    <t>72031.018306/2017-12</t>
  </si>
  <si>
    <t>Dispensa 103/2017</t>
  </si>
  <si>
    <t>ABNT</t>
  </si>
  <si>
    <t>33.402.892/0001-06</t>
  </si>
  <si>
    <t>72031.018624/2017-83</t>
  </si>
  <si>
    <t>Reconhecimento de Divida</t>
  </si>
  <si>
    <t>Sky Brasil</t>
  </si>
  <si>
    <t>72.820.822/0027-69</t>
  </si>
  <si>
    <t>72031.005133/2018-53</t>
  </si>
  <si>
    <t>72031.020139/2017-70</t>
  </si>
  <si>
    <t>J2 COMÉRCIO</t>
  </si>
  <si>
    <t>JCM NITERÓI REFRIGERAÇÃO</t>
  </si>
  <si>
    <t>STAR LUZ ILUMINAÇÃO</t>
  </si>
  <si>
    <t>13.816.522/0001-08</t>
  </si>
  <si>
    <t>08.824.171/0005-70</t>
  </si>
  <si>
    <t>38.000.329/0001-25</t>
  </si>
  <si>
    <t>72031.018010/2017-00</t>
  </si>
  <si>
    <t>72031.004103/2018-20</t>
  </si>
  <si>
    <t>72031.000832/2018-15</t>
  </si>
  <si>
    <t>72031.012917/2017-57</t>
  </si>
  <si>
    <t>72031.001201/2017-24</t>
  </si>
  <si>
    <t>72031.009288/2017-88</t>
  </si>
  <si>
    <t>Dispensa 029/2018</t>
  </si>
  <si>
    <t>Dispensa 031/2018</t>
  </si>
  <si>
    <t>Dispensa 023/2018</t>
  </si>
  <si>
    <t>LUCIANA PAIVA FERNANDES EIRELI - EPP</t>
  </si>
  <si>
    <t>29.267.336/0001-05</t>
  </si>
  <si>
    <t>72031.016756/2017-71</t>
  </si>
  <si>
    <t>72031.003041/2017-58</t>
  </si>
  <si>
    <t>72031.000480/2016-28</t>
  </si>
  <si>
    <t>72031.0014068/2017-14</t>
  </si>
  <si>
    <t>72031.001234/2017-74</t>
  </si>
  <si>
    <t>72031.013327/2017-41</t>
  </si>
  <si>
    <t>004/2018</t>
  </si>
  <si>
    <t xml:space="preserve">ZP CONSERVACAO E LIMPEZA LTDA </t>
  </si>
  <si>
    <t>72031.012330/2017-48</t>
  </si>
  <si>
    <t>AVIRRP - Associação das Agências de Viagem de Ribeirão Preto</t>
  </si>
  <si>
    <t>72031.008291/2018-65</t>
  </si>
  <si>
    <t>Contração de empresa especializada em Montagem de stands do Mtur</t>
  </si>
  <si>
    <t>009/2018</t>
  </si>
  <si>
    <t>BNT FEIRAS E CONGRESSOS LTDA - EPP</t>
  </si>
  <si>
    <t xml:space="preserve">00.376.660/0001-71     </t>
  </si>
  <si>
    <t>72031.003270/2018-53</t>
  </si>
  <si>
    <t>016/2018</t>
  </si>
  <si>
    <t>00.287.519/0001-00</t>
  </si>
  <si>
    <t>72031.006871/2018-18</t>
  </si>
  <si>
    <t>BRAZTOA - Associação Brasileira de Operadoras de Turismo</t>
  </si>
  <si>
    <t>013/2018</t>
  </si>
  <si>
    <t>CENTRAL iT</t>
  </si>
  <si>
    <t xml:space="preserve">07.171.299/0001-96  </t>
  </si>
  <si>
    <t>72031.006826/2018-63</t>
  </si>
  <si>
    <t>005/2018</t>
  </si>
  <si>
    <t>012/2018</t>
  </si>
  <si>
    <t>Daina Lima - WTM Latin</t>
  </si>
  <si>
    <t>Daina Lima - BNT Mercosul</t>
  </si>
  <si>
    <t>04.433.214/0001-02</t>
  </si>
  <si>
    <t>72031.001057/2018-15</t>
  </si>
  <si>
    <t>72031.003508/2018-41</t>
  </si>
  <si>
    <t>017/2018</t>
  </si>
  <si>
    <t>10.231.492/0001-80</t>
  </si>
  <si>
    <t>72031.005488/2018-42</t>
  </si>
  <si>
    <t>Dispensa 001/2018</t>
  </si>
  <si>
    <t>EXPRESSO DIGITAL GRÁFICA RÁPIDA LTDA - ME</t>
  </si>
  <si>
    <t>BIG BAND BANDEIRAS LTDA</t>
  </si>
  <si>
    <t>81.229.858/0001-24</t>
  </si>
  <si>
    <t>72031.005034/2018-71</t>
  </si>
  <si>
    <t>Dispensa 035/2018</t>
  </si>
  <si>
    <t>Dispensa 033/2018</t>
  </si>
  <si>
    <t xml:space="preserve">MODERARE PRODUTOS E SERVIÇOS </t>
  </si>
  <si>
    <t>01.184.270/0001-62</t>
  </si>
  <si>
    <t>72031.017784/2017-13</t>
  </si>
  <si>
    <t>Dispensa 036/2018</t>
  </si>
  <si>
    <t>GLOBAL DISTRIBUIÇÃO DE BENS</t>
  </si>
  <si>
    <t>89.237.911/0093-69</t>
  </si>
  <si>
    <t>72031.005306/2018-33</t>
  </si>
  <si>
    <t>Dispensa 030/2018</t>
  </si>
  <si>
    <t xml:space="preserve">FORTUNE COMUNICAÇÃO </t>
  </si>
  <si>
    <t>17.589.437/0001-05</t>
  </si>
  <si>
    <t>72031.004007/2018-81</t>
  </si>
  <si>
    <t>Dispensa 005/2018</t>
  </si>
  <si>
    <t>00.497.373/0001-10</t>
  </si>
  <si>
    <t>72031.000805/2018-34</t>
  </si>
  <si>
    <t>Dispensa 028/2018</t>
  </si>
  <si>
    <t>D &amp; F COMERCIO DE MATERIAIS ELÉTRICOS LTDA</t>
  </si>
  <si>
    <t>05.868.520/0001-34</t>
  </si>
  <si>
    <t>72031.002894/2018-53</t>
  </si>
  <si>
    <t>FARIAS COMERCIO DE FERRAGENS</t>
  </si>
  <si>
    <t>25.342.078/0001-15</t>
  </si>
  <si>
    <t>Dispensa 032/2018</t>
  </si>
  <si>
    <t>CAR COLLECTION TRANSPORTADORA</t>
  </si>
  <si>
    <t>14.146.786/0001-64</t>
  </si>
  <si>
    <t>72031.002797/2018-61</t>
  </si>
  <si>
    <t>Dispensa 037/2018</t>
  </si>
  <si>
    <t xml:space="preserve">BSB MONEY CONSULTORIA </t>
  </si>
  <si>
    <t>12.437.226/0001-33</t>
  </si>
  <si>
    <t>72031.005283/2018-67</t>
  </si>
  <si>
    <t>Dispensa 0345/2018</t>
  </si>
  <si>
    <t>ACESSO TELECOM LTDA</t>
  </si>
  <si>
    <t>10.539.098/0001-03</t>
  </si>
  <si>
    <t>72031.003184/2018-41</t>
  </si>
  <si>
    <t>Não se aplica - taxa</t>
  </si>
  <si>
    <t>00.475.855/0001-79</t>
  </si>
  <si>
    <t>DETRAN - DF</t>
  </si>
  <si>
    <t>72031.008480/2018-38</t>
  </si>
  <si>
    <t>COMERCIAL AGRO FORTE EIRELI - EPP</t>
  </si>
  <si>
    <t>11.440.116/0001-68</t>
  </si>
  <si>
    <t>Dispensa 041/2018</t>
  </si>
  <si>
    <t>Fabio Faria Giraflex</t>
  </si>
  <si>
    <t>10.596.093/0001-12</t>
  </si>
  <si>
    <t>72031.007364/2018-00</t>
  </si>
  <si>
    <t>Dispensa 045/2018</t>
  </si>
  <si>
    <t>INTERNATIONAL MEAL - Comissaria de Brasilia</t>
  </si>
  <si>
    <t>17.314.329/0020-92</t>
  </si>
  <si>
    <t>72031.010231/2018-11</t>
  </si>
  <si>
    <t>Dispensa 042/2018</t>
  </si>
  <si>
    <t>FARED COMERCIAL LTDA</t>
  </si>
  <si>
    <t>COMERCIAL NOTA 10 LTDA</t>
  </si>
  <si>
    <t>CRUZ BICUDO COMERCIAL LTDA</t>
  </si>
  <si>
    <t xml:space="preserve">MARIA LÚCIA MELLO UTILIDADES </t>
  </si>
  <si>
    <t xml:space="preserve">GOLD COMÉRCIO DE EQUIPAMENTOS </t>
  </si>
  <si>
    <t>07.259.386/0001-08</t>
  </si>
  <si>
    <t>05.376.501/0001-90</t>
  </si>
  <si>
    <t>57.685.257/0001-41</t>
  </si>
  <si>
    <t>28.716.456/0001-71</t>
  </si>
  <si>
    <t>11.464.383/0001-75</t>
  </si>
  <si>
    <t>72031.007359/2018-99</t>
  </si>
  <si>
    <t>CDV COMERCIAL LTDA</t>
  </si>
  <si>
    <t>05.205.399/0001-60</t>
  </si>
  <si>
    <t>DENIS DE SOUZA GARCIA</t>
  </si>
  <si>
    <t>24.261.179/0001-07</t>
  </si>
  <si>
    <t>Dispensa 043/2018</t>
  </si>
  <si>
    <t>WAY AGÊNCIA DE PRODUÇÃO</t>
  </si>
  <si>
    <t>20.935.188/0001-77</t>
  </si>
  <si>
    <t>72031.009754/2018-14</t>
  </si>
  <si>
    <t>Dispensa 059/2018</t>
  </si>
  <si>
    <t>3 GIGAFOX NETWORK E INFORMÁTICA</t>
  </si>
  <si>
    <t>15.050.089/0001-78</t>
  </si>
  <si>
    <t>72031.009120/2018-53</t>
  </si>
  <si>
    <t>Dispensa 062/2018</t>
  </si>
  <si>
    <t>MANOEL CÁSSIO DE S. GUEDES</t>
  </si>
  <si>
    <t>07.266.260/0001-52</t>
  </si>
  <si>
    <t>72031.007824/2018-91</t>
  </si>
  <si>
    <t>Dispensa 012/2018</t>
  </si>
  <si>
    <t>toda PG</t>
  </si>
  <si>
    <t>OBSERVAÇÃO</t>
  </si>
  <si>
    <t>JMK Transportadora</t>
  </si>
  <si>
    <t>12.148.207/0001-97</t>
  </si>
  <si>
    <t>72031.004569/2018-25</t>
  </si>
  <si>
    <t>018/2018</t>
  </si>
  <si>
    <t>NCT Informática</t>
  </si>
  <si>
    <t>03.017.428/0001-35</t>
  </si>
  <si>
    <t xml:space="preserve">72031.009993/2017-85 </t>
  </si>
  <si>
    <t>011/2018</t>
  </si>
  <si>
    <t>Quartz Construções</t>
  </si>
  <si>
    <t xml:space="preserve">12.886.045/0001-94  </t>
  </si>
  <si>
    <t>72031.000826/2018-50</t>
  </si>
  <si>
    <t>010/2018</t>
  </si>
  <si>
    <t>SINGTUR/FOZ - Sindicato dos Guias de Turismo de Foz do Iguaçu e Municípios da Costa Oeste</t>
  </si>
  <si>
    <t xml:space="preserve">77.812.618/0001-80   </t>
  </si>
  <si>
    <t>039/2017</t>
  </si>
  <si>
    <t>001/2018</t>
  </si>
  <si>
    <t>019/2018</t>
  </si>
  <si>
    <t>2018'</t>
  </si>
  <si>
    <t>023/2018</t>
  </si>
  <si>
    <t>ALVORADA CONSTRUTORA</t>
  </si>
  <si>
    <t>21.429.811/0001-82</t>
  </si>
  <si>
    <t>72031.004066/2018-50</t>
  </si>
  <si>
    <t>025/2018</t>
  </si>
  <si>
    <t>72031.009963/2018-50</t>
  </si>
  <si>
    <t>DE ANGELI FEIRAS E EVENTOS LTDA - ME -  TERMATALIA</t>
  </si>
  <si>
    <t>DE ANGELI FEIRAS E EVENTOS LTDA - ME FEST CATARATAS</t>
  </si>
  <si>
    <t>Dispensa 006/2018</t>
  </si>
  <si>
    <t>GRP SOLUTIONS INFORMATICA LTDA</t>
  </si>
  <si>
    <t>11.425.781/0001-82</t>
  </si>
  <si>
    <t>72031.013917/2017-74</t>
  </si>
  <si>
    <t>Dispensa 054/2017</t>
  </si>
  <si>
    <t>G &amp; A Comercio de Informática LTDA</t>
  </si>
  <si>
    <t>18.127.865/0001-89</t>
  </si>
  <si>
    <t>006/2018                   UG 540006</t>
  </si>
  <si>
    <t>Dispensa 063/2018</t>
  </si>
  <si>
    <t>11.666.991/0001-62</t>
  </si>
  <si>
    <t>ARQUITET &amp; TAL EIRELI</t>
  </si>
  <si>
    <t>72031.010615/2018-25</t>
  </si>
  <si>
    <t>Dispensa 061/2018</t>
  </si>
  <si>
    <t>GRÁFICA E EDITORA FERNANDES E LIRA LTDA</t>
  </si>
  <si>
    <t>07.736.659/0001-50</t>
  </si>
  <si>
    <t>72031.009758/2018-94</t>
  </si>
  <si>
    <t>Dispensa 057/2018</t>
  </si>
  <si>
    <t xml:space="preserve">RMEGH NUTRIFORT </t>
  </si>
  <si>
    <t>28.435.908/0001-47</t>
  </si>
  <si>
    <t>72031.008869/2018-83</t>
  </si>
  <si>
    <t>Disp 072/2018</t>
  </si>
  <si>
    <t>72031.012115/2018-00</t>
  </si>
  <si>
    <t>JOSE PEREIRA DE SOUZA MOLDURAS - ME</t>
  </si>
  <si>
    <t>13.288.921/0001-43</t>
  </si>
  <si>
    <t>72031.011990/2018-92</t>
  </si>
  <si>
    <t>Disp 067/2018</t>
  </si>
  <si>
    <t xml:space="preserve">DIGITAL DISTRIBUIDORA COMÉRCIO </t>
  </si>
  <si>
    <t>03.452.072/0001-68</t>
  </si>
  <si>
    <t>72031.011350/2018-82</t>
  </si>
  <si>
    <t>Disp 066/2018</t>
  </si>
  <si>
    <t>SUPRIMAX PAPÉIS E SUPRIMENTOS LTDA</t>
  </si>
  <si>
    <t>37.356.615/0001-65</t>
  </si>
  <si>
    <t>72031.010961/2018-11</t>
  </si>
  <si>
    <t>Dispensa 051/2018</t>
  </si>
  <si>
    <t>INTERNATIONAL MEAL - Comissaria de Campinas</t>
  </si>
  <si>
    <t>17.314.329/0032-26</t>
  </si>
  <si>
    <t>72031.014172/2018-41</t>
  </si>
  <si>
    <t>Pregão 004/2018</t>
  </si>
  <si>
    <t>CLINICA REABILITAR LTDA</t>
  </si>
  <si>
    <t>02.215.288/0001-47</t>
  </si>
  <si>
    <t>72031.017665/2017-52</t>
  </si>
  <si>
    <t>TRIBUNAL DE JUSTIÇA DO MG</t>
  </si>
  <si>
    <t>21.154.554/0001-13</t>
  </si>
  <si>
    <t>72031.011383/2018-22</t>
  </si>
  <si>
    <t>72031.012253/2018-15</t>
  </si>
  <si>
    <t>Dispensa 065/2018</t>
  </si>
  <si>
    <t>N.S.S COMERCIAL E CONSTRUTORA EIRELI</t>
  </si>
  <si>
    <t>28.634.818/0001-85</t>
  </si>
  <si>
    <t>72031.011220/2018-40</t>
  </si>
  <si>
    <t>Dispensa 073/2018</t>
  </si>
  <si>
    <t>TERRA ÚTIL - COMÉRCIO DE MÁQUINAS</t>
  </si>
  <si>
    <t>07.144.507/0001-68</t>
  </si>
  <si>
    <t>72031.012451/2018-71</t>
  </si>
  <si>
    <t>Dispensa 071/2018</t>
  </si>
  <si>
    <t>ANAX BRASIL COMERCIO E SERVIÇOS LTDA</t>
  </si>
  <si>
    <t>28.849.946/0001-46</t>
  </si>
  <si>
    <t>72031.012178/2018-84</t>
  </si>
  <si>
    <t>Dispensa 069/2018</t>
  </si>
  <si>
    <t>FIDELITY IDIOMAS LTDA</t>
  </si>
  <si>
    <t>03.636.893/0001-54</t>
  </si>
  <si>
    <t>72031.012012/2018-68</t>
  </si>
  <si>
    <t>Dispensa 068/2018</t>
  </si>
  <si>
    <t>J2 COMÉRCIO DE UTILIDADES</t>
  </si>
  <si>
    <t>13.816.522/0001-08 </t>
  </si>
  <si>
    <t>72031.011805/2018-60</t>
  </si>
  <si>
    <t>ANTONIO DIONES SANTOS DA SILVA</t>
  </si>
  <si>
    <t>23.116.082/0001-30</t>
  </si>
  <si>
    <t>DETRAN DF</t>
  </si>
  <si>
    <t>72031.013005/2018-83</t>
  </si>
  <si>
    <t>Seguradora Lider DPVAT</t>
  </si>
  <si>
    <t>09.248.608/0001-04</t>
  </si>
  <si>
    <t>72031.013567/2018-27</t>
  </si>
  <si>
    <t>Dispensa 077/2018</t>
  </si>
  <si>
    <t>ATHALAIA GRÁFICA E EDITORA LTDA</t>
  </si>
  <si>
    <t>02.717.866/0001-43</t>
  </si>
  <si>
    <t>72031.001308/2018-53</t>
  </si>
  <si>
    <t>015/2018</t>
  </si>
  <si>
    <t>EAI MARKETING LTDA</t>
  </si>
  <si>
    <t>20.685.116/0001-19</t>
  </si>
  <si>
    <t>72031.002420/2018-10</t>
  </si>
  <si>
    <t>SET/2018</t>
  </si>
  <si>
    <t>021/2018</t>
  </si>
  <si>
    <t>Forma Office</t>
  </si>
  <si>
    <t>09.813.581/0001-55</t>
  </si>
  <si>
    <t>72031.007756/2018-61</t>
  </si>
  <si>
    <t>014/2018</t>
  </si>
  <si>
    <t>10.935.819/0001-02</t>
  </si>
  <si>
    <t>72031.012269/2018-10</t>
  </si>
  <si>
    <t>028/2018</t>
  </si>
  <si>
    <t>GL EVENTS LE S.A</t>
  </si>
  <si>
    <t>78.954.286/0001-31</t>
  </si>
  <si>
    <t>72031.010816/2018-22</t>
  </si>
  <si>
    <t>JAN/2019</t>
  </si>
  <si>
    <t>022/2018</t>
  </si>
  <si>
    <t>SERPRO - INFOCONV NOVO</t>
  </si>
  <si>
    <t>SET/2019</t>
  </si>
  <si>
    <t>029/2018</t>
  </si>
  <si>
    <t>031/2018</t>
  </si>
  <si>
    <t>GAP SERVIÇOS DE EVENTOS EIRELI - ABAV 2018</t>
  </si>
  <si>
    <t>GAP SERVIÇOS DE EVENTOS EIRELI - Adventure Sports Fair</t>
  </si>
  <si>
    <t>GAP SERVIÇOS DE EVENTOS EIRELI - Festival Turismo Gramado</t>
  </si>
  <si>
    <t>72031.014314/2018-71</t>
  </si>
  <si>
    <t>72031.014628/2018-73</t>
  </si>
  <si>
    <t>CLARO S.A (C.T 032/2018)</t>
  </si>
  <si>
    <t>032/2018</t>
  </si>
  <si>
    <t>72031.009121/2018-06</t>
  </si>
  <si>
    <t>033/2018</t>
  </si>
  <si>
    <t>71.208.516/0001-74</t>
  </si>
  <si>
    <t>ALGAR Telecom</t>
  </si>
  <si>
    <t>035/2018</t>
  </si>
  <si>
    <t>72031.010594/2018-48</t>
  </si>
  <si>
    <t>Disp 002/2018</t>
  </si>
  <si>
    <t>Disp 076/2018</t>
  </si>
  <si>
    <t>CARLOS EDUARDO VIANNA SANTOS​</t>
  </si>
  <si>
    <t>30.636.928/0001-28</t>
  </si>
  <si>
    <t>72031.012711/2018-16</t>
  </si>
  <si>
    <t>Disp 084/2018</t>
  </si>
  <si>
    <t>CELSO GUSTAVO SALES CAVALCANTE</t>
  </si>
  <si>
    <t>16.968.466/0001-15</t>
  </si>
  <si>
    <t>72031.014587/2018-15</t>
  </si>
  <si>
    <t>Disp 088/2018</t>
  </si>
  <si>
    <t>MASTERPLAC COMÉRCIO DE PLACAS</t>
  </si>
  <si>
    <t>08.790.519/0001-22</t>
  </si>
  <si>
    <t>Dispensa 047/2018</t>
  </si>
  <si>
    <t>INTERNATIONAL MEAL - Comissaria de Congonhas</t>
  </si>
  <si>
    <t>17.314.329/0005-53</t>
  </si>
  <si>
    <t>72031.016434/2018-11</t>
  </si>
  <si>
    <t>Disp 079/2018</t>
  </si>
  <si>
    <t>CORDIOLI MODERAÇÃO</t>
  </si>
  <si>
    <t>01.877.496/0001-49</t>
  </si>
  <si>
    <t>72031.012089/2018-38</t>
  </si>
  <si>
    <t>Disp 089/2018</t>
  </si>
  <si>
    <t>GENTE SEGURADORA S/A</t>
  </si>
  <si>
    <t>90.180.605/0001-02</t>
  </si>
  <si>
    <t>72031.013442/2018-05</t>
  </si>
  <si>
    <t>007/2018</t>
  </si>
  <si>
    <t>72031.004511/2018-81</t>
  </si>
  <si>
    <t>027/2018</t>
  </si>
  <si>
    <t>CAIXA ECONÔMICA FEDERAL (C.T 007/2018)</t>
  </si>
  <si>
    <t>CAIXA ECONÔMICA FEDERAL (C.T 027/2018 - PAC)</t>
  </si>
  <si>
    <t>72031.004674/2018-64</t>
  </si>
  <si>
    <t>00.082.024/0001-37</t>
  </si>
  <si>
    <t>001/2019</t>
  </si>
  <si>
    <t>DEZ/2019</t>
  </si>
  <si>
    <t>Disp 038/2018</t>
  </si>
  <si>
    <t>EXTINTO</t>
  </si>
  <si>
    <t>CLARO S.A (C.T 001/2019)</t>
  </si>
  <si>
    <t>02/01//2020</t>
  </si>
  <si>
    <t>72031.000257/2016-91</t>
  </si>
  <si>
    <t>72030.000257/2016-91</t>
  </si>
  <si>
    <t>Disp 093/2018</t>
  </si>
  <si>
    <t>72031.017657/2018-97</t>
  </si>
  <si>
    <t>72031.000472/2017-62</t>
  </si>
  <si>
    <t>TJ/MG</t>
  </si>
  <si>
    <t>72031.000839/2019-18</t>
  </si>
  <si>
    <t>2019</t>
  </si>
  <si>
    <t>72031.016763/2018-53</t>
  </si>
  <si>
    <t>Dispensa 013/2018</t>
  </si>
  <si>
    <t>QUADRO CONSTRUTORA EIRELI-EPP</t>
  </si>
  <si>
    <t>07.044.248/0001-01</t>
  </si>
  <si>
    <t>72031.017078/2018-44</t>
  </si>
  <si>
    <t>Disp 006/2019</t>
  </si>
  <si>
    <t>LORENZI COMERCIO DE EXTINTORES</t>
  </si>
  <si>
    <t>01.778.924/0001-86</t>
  </si>
  <si>
    <t>72031.000249/2019-87</t>
  </si>
  <si>
    <t>Disp 014/2019</t>
  </si>
  <si>
    <t>B2HR ASSESSORIA CONSULTORIA</t>
  </si>
  <si>
    <t>13.714.572/0001-84</t>
  </si>
  <si>
    <t>72031.001527/2019-13</t>
  </si>
  <si>
    <t>72031001372/2019-15</t>
  </si>
  <si>
    <t>INTERNATIONAL MEAL - Comissaria de Confins - BH</t>
  </si>
  <si>
    <t>INTERNATIONAL MEAL - Comissaria de Congonhas - SP</t>
  </si>
  <si>
    <t>INTERNATIONAL MEAL - Comissaria de Viracopos - Campinas SP</t>
  </si>
  <si>
    <t>INTERNATIONAL MEAL - Comissaria de Porto Alegre - RS</t>
  </si>
  <si>
    <t>003/2019</t>
  </si>
  <si>
    <t>GAP SERVIÇOS DE EVENTOS EIRELI - WTM 2019</t>
  </si>
  <si>
    <t>72031.001708/2019-40</t>
  </si>
  <si>
    <t>JUN/2019</t>
  </si>
  <si>
    <t>17.314.329/0001-20</t>
  </si>
  <si>
    <t>72031.001376/2019-01</t>
  </si>
  <si>
    <t>72031.001465/2019-40</t>
  </si>
  <si>
    <t>CATERAIR SERVICOS DE BORDO - Comissaria de Santos Dumont - RJ</t>
  </si>
  <si>
    <t>33.375.601/0001-38</t>
  </si>
  <si>
    <t>72031.001513/2019-08</t>
  </si>
  <si>
    <t>72031.001521/2019-46</t>
  </si>
  <si>
    <t>17.314.329/0006-34</t>
  </si>
  <si>
    <t>72031.001524/2019-80</t>
  </si>
  <si>
    <t>72031.003672/2017-77</t>
  </si>
  <si>
    <t>72031.003345/2019-87</t>
  </si>
  <si>
    <t>72031.001428/2017-70</t>
  </si>
  <si>
    <t>72031.001545/2019-03</t>
  </si>
  <si>
    <t>019/2011</t>
  </si>
  <si>
    <t>Disp 034/2019</t>
  </si>
  <si>
    <t>72031.001291/2019-15</t>
  </si>
  <si>
    <t>72031.001366/2019-68</t>
  </si>
  <si>
    <t>IMPRENSA NACIONAL (TED 001/2018)</t>
  </si>
  <si>
    <t>72031.011675/2018-65</t>
  </si>
  <si>
    <t>72031.001059/2019-87</t>
  </si>
  <si>
    <t>ENCERRADO</t>
  </si>
  <si>
    <t>72031.000679/2019-07</t>
  </si>
  <si>
    <t>72031.000366/2019-41</t>
  </si>
  <si>
    <t>72031.016688/2018-21</t>
  </si>
  <si>
    <t>Disp 013/2019</t>
  </si>
  <si>
    <t>APOIO PRODUÇOES</t>
  </si>
  <si>
    <t>72031.001333/2019-18</t>
  </si>
  <si>
    <t>Disp 019/2019</t>
  </si>
  <si>
    <t>Luiz Felipe Lima Rocha Eirelli</t>
  </si>
  <si>
    <t>22.421.884/0001-90</t>
  </si>
  <si>
    <t>72031.001452/2019-71</t>
  </si>
  <si>
    <t>Disp 005/2019</t>
  </si>
  <si>
    <t>Soluti - Soluções em Negocios Inteligentes</t>
  </si>
  <si>
    <t>09.461.647/0001-95</t>
  </si>
  <si>
    <t>72031000366/2019-41</t>
  </si>
  <si>
    <t>Disp 002/2019</t>
  </si>
  <si>
    <t>Evolute Brindes e Serviços de Eventos</t>
  </si>
  <si>
    <t>27.398.370/0001-85</t>
  </si>
  <si>
    <t>72031.016958/2018-01</t>
  </si>
  <si>
    <t>Disp 011/2019</t>
  </si>
  <si>
    <t>Multi Filtros Eirelli</t>
  </si>
  <si>
    <t>15.801.523/0001-04</t>
  </si>
  <si>
    <t>72031.001101/2019-60</t>
  </si>
  <si>
    <t>Disp 032/2019</t>
  </si>
  <si>
    <t>Confecções de Bandeiras Bandemar</t>
  </si>
  <si>
    <t>03.461.065/0001-22</t>
  </si>
  <si>
    <t>72031.001359/2019-66</t>
  </si>
  <si>
    <t>Disp 018/2019</t>
  </si>
  <si>
    <t>Compuset Informatica Ltda</t>
  </si>
  <si>
    <t>65.529.489/0001-39</t>
  </si>
  <si>
    <t>72031.017356/2018-63</t>
  </si>
  <si>
    <t>Disp 028/2019</t>
  </si>
  <si>
    <t>Marcelo Flausino</t>
  </si>
  <si>
    <t>29.773.027/0001-07</t>
  </si>
  <si>
    <t>72031.001100/2019-15</t>
  </si>
  <si>
    <t>Crono Soluções em Tecnologia</t>
  </si>
  <si>
    <t>26.536.443/0001-95</t>
  </si>
  <si>
    <t>002/2019</t>
  </si>
  <si>
    <t>REED EXHIBITIONS ALCANTARA MACHADO LTDA</t>
  </si>
  <si>
    <t>02.162.646/0001-09</t>
  </si>
  <si>
    <t>72031.001420/2019-75</t>
  </si>
  <si>
    <t>TaxiGov</t>
  </si>
  <si>
    <t>72031.003674/2017-66</t>
  </si>
  <si>
    <t>034/2018</t>
  </si>
  <si>
    <t>TORINO INFORMÁTICA LTDA</t>
  </si>
  <si>
    <t xml:space="preserve">03.619.767/0005-15       </t>
  </si>
  <si>
    <t xml:space="preserve">72031.002993/2017-54 </t>
  </si>
  <si>
    <t>2015</t>
  </si>
  <si>
    <t>72031.002691/2018-67</t>
  </si>
  <si>
    <t>Central de Compras</t>
  </si>
  <si>
    <t>72031.012021/2018-59</t>
  </si>
  <si>
    <t>Disp 007/2019</t>
  </si>
  <si>
    <t>ECOPENSE COLETA DE RESÍDUOS EIRELI​</t>
  </si>
  <si>
    <t>27.149.997/0001-00</t>
  </si>
  <si>
    <t>72031.004290/2019-22</t>
  </si>
  <si>
    <t>COMPUSET INFORMÁTICA LTDA</t>
  </si>
  <si>
    <t>MARCELO FLAUSINO</t>
  </si>
  <si>
    <t>CRONO SOLUÇÕES EM TECNOLOGIA</t>
  </si>
  <si>
    <t>GRAFICPAPER COMÉRCIO E SERVIÇOS - EIRELLI</t>
  </si>
  <si>
    <t>ASSOC. BRASILEIRA DE EMPRESAS DE PESQUISA - ABEP</t>
  </si>
  <si>
    <t>27.327.858/0001-11</t>
  </si>
  <si>
    <t>72031.002998/2019-49</t>
  </si>
  <si>
    <t>67.184.457/0001-74</t>
  </si>
  <si>
    <t>72031.003653/2019-11</t>
  </si>
  <si>
    <t>007/2019</t>
  </si>
  <si>
    <t>72031.005329/2019-29</t>
  </si>
  <si>
    <t>OUT/2019</t>
  </si>
  <si>
    <t>ASSOCIAÇÃO BRASILEIRA DAS OPERADORAS DE TURISMO - BRAZTOA</t>
  </si>
  <si>
    <t>010/2019</t>
  </si>
  <si>
    <t>72031.004475/2019-37</t>
  </si>
  <si>
    <t>NOV/2019</t>
  </si>
  <si>
    <t>00.287.519-0001-00</t>
  </si>
  <si>
    <t>004/2019</t>
  </si>
  <si>
    <t>BNT FEIRAS E CONGRESSOS EIRELI</t>
  </si>
  <si>
    <t>00.376.660/0001-71</t>
  </si>
  <si>
    <t>72031.001425/2019-06</t>
  </si>
  <si>
    <t>AGO/2019</t>
  </si>
  <si>
    <t>72031.000209/2017-73</t>
  </si>
  <si>
    <t>006/2019</t>
  </si>
  <si>
    <t>DE ANGELI FEIRAS E EVENTOS LTDA-ME</t>
  </si>
  <si>
    <t>72031.005323/2019-51</t>
  </si>
  <si>
    <t>Disp 012/2019</t>
  </si>
  <si>
    <t>Disp 015/2019</t>
  </si>
  <si>
    <t>Disp 016/2019</t>
  </si>
  <si>
    <t>Disp 023/2019</t>
  </si>
  <si>
    <t>Disp 024/2019</t>
  </si>
  <si>
    <t>Disp 026/2019</t>
  </si>
  <si>
    <t>Disp 006/2018</t>
  </si>
  <si>
    <t>Disp 009/2019</t>
  </si>
  <si>
    <t>Disp 001/2018</t>
  </si>
  <si>
    <t>Disp 008/2019</t>
  </si>
  <si>
    <t>Disp 003/2019</t>
  </si>
  <si>
    <t>Disp 036/2019</t>
  </si>
  <si>
    <t>Disp 037/2019</t>
  </si>
  <si>
    <t>Disp 013/2018</t>
  </si>
  <si>
    <t>Disp 092/2018</t>
  </si>
  <si>
    <t>Disp 031/2019</t>
  </si>
  <si>
    <t>Disp 029/2019</t>
  </si>
  <si>
    <t>San Decorações e Reformas Eireli</t>
  </si>
  <si>
    <t>01.237.977/0001-90</t>
  </si>
  <si>
    <t>72031.001349/2019-21</t>
  </si>
  <si>
    <t>TJMG - TAXAS JUDICIAIS</t>
  </si>
  <si>
    <t>Não se aplica</t>
  </si>
  <si>
    <t>TODO PG</t>
  </si>
  <si>
    <t>Disp 043/2019</t>
  </si>
  <si>
    <t>FABRIKA EVENTOS &amp; PRODUÇÕES EIRELI​</t>
  </si>
  <si>
    <t>31.206.889/0001-91</t>
  </si>
  <si>
    <t>72031.006342/2019-03</t>
  </si>
  <si>
    <t>Disp 030/2019</t>
  </si>
  <si>
    <t>TED 001/2018</t>
  </si>
  <si>
    <t>Disp 050/2019</t>
  </si>
  <si>
    <t>ROSANO TECNHOLOGY INDÚSTRIA, COMÉRCIO</t>
  </si>
  <si>
    <t>72031.007761/2019-54</t>
  </si>
  <si>
    <t>INEX 004/2019</t>
  </si>
  <si>
    <t>LEC Editora e Organização de Eventos Ltda.</t>
  </si>
  <si>
    <t>16.457.791/0001-13</t>
  </si>
  <si>
    <t>72031.003670/2019-40</t>
  </si>
  <si>
    <t>INEX 003/2019</t>
  </si>
  <si>
    <t>MANOEL MENDES DE OLIVEIRA</t>
  </si>
  <si>
    <t>20.639.512/0001-00</t>
  </si>
  <si>
    <t>72031.011124/2018-00</t>
  </si>
  <si>
    <t>INEX 012/2019</t>
  </si>
  <si>
    <t>Lider seguradora</t>
  </si>
  <si>
    <t>72031.008274/2019-17</t>
  </si>
  <si>
    <t>TAXA</t>
  </si>
  <si>
    <t>72031.014358/2017-10</t>
  </si>
  <si>
    <t>005/2019</t>
  </si>
  <si>
    <t>009/2019</t>
  </si>
  <si>
    <t>IDEIAS TURISMO EIRELI</t>
  </si>
  <si>
    <t>02.676.310/0001-56</t>
  </si>
  <si>
    <t>72031.005917/2019-62</t>
  </si>
  <si>
    <t>008/2019</t>
  </si>
  <si>
    <t>MURANO CONSTRUCOES EIRELI</t>
  </si>
  <si>
    <t>23.170.931/0001-33</t>
  </si>
  <si>
    <t>72031.005118/2019-96</t>
  </si>
  <si>
    <t>JUL/2019</t>
  </si>
  <si>
    <t>JAN/2020</t>
  </si>
  <si>
    <t>011/2019</t>
  </si>
  <si>
    <t>SERPRO - INFOVIA NOVO</t>
  </si>
  <si>
    <t>72031.006000/2019-85</t>
  </si>
  <si>
    <t>Disp 047/2019</t>
  </si>
  <si>
    <t>BRTOP INDÚSTRIA E COMÉRCIO DE MÓVEIS LTDA</t>
  </si>
  <si>
    <t>03.869.166/0001-37</t>
  </si>
  <si>
    <t>72031.007076/2019-28</t>
  </si>
  <si>
    <t>ABAV</t>
  </si>
  <si>
    <t>27.287.283/0001-50</t>
  </si>
  <si>
    <t>72031.004536/2019-66</t>
  </si>
  <si>
    <t>Disp 040/2018</t>
  </si>
  <si>
    <t>SERPRO - Aquisição de certificados</t>
  </si>
  <si>
    <t>72031.004523/2018-14</t>
  </si>
  <si>
    <t>GAP SERVIÇOS DE EVENTOS EIRELI - 53 Reunião CNT 2019</t>
  </si>
  <si>
    <t>SEM CT 2019</t>
  </si>
  <si>
    <t>72031.004042/2019-81</t>
  </si>
  <si>
    <t>GAP SERVIÇOS DE EVENTOS EIRELI - A HORA DO TURISMO</t>
  </si>
  <si>
    <t>72031.001453/2019-15</t>
  </si>
  <si>
    <t>013/2019</t>
  </si>
  <si>
    <t>ASSOCIAÇÃO BRASILEIRA DAS OPERADORAS DE TURISMO - BRAZTOA - SUL</t>
  </si>
  <si>
    <t>72031.008526/2019-08</t>
  </si>
  <si>
    <t>BRASAL COMBUSTÍVEL</t>
  </si>
  <si>
    <t>00.097.626/0001-68</t>
  </si>
  <si>
    <t>72031.007337/2019-18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</si>
</sst>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R$&quot;\ * #,##0.00_-;\-&quot;R$&quot;\ * #,##0.00_-;_-&quot;R$&quot;\ * &quot;-&quot;??_-;_-@_-"/>
    <numFmt numFmtId="164" formatCode="_-&quot;R$&quot;* #,##0.00_-;\-&quot;R$&quot;* #,##0.00_-;_-&quot;R$&quot;* &quot;-&quot;??_-;_-@_-"/>
    <numFmt numFmtId="165" formatCode="mmm/yyyy"/>
    <numFmt numFmtId="166" formatCode="mmmyyyy"/>
    <numFmt numFmtId="167" formatCode="dd&quot;/&quot;mmm&quot;/&quot;yyyy"/>
    <numFmt numFmtId="168" formatCode="&quot;R$&quot;#,##0.00"/>
  </numFmts>
  <fonts count="17" x14ac:knownFonts="1">
    <font>
      <sz val="10"/>
      <color rgb="FF000000"/>
      <name val="Arial"/>
    </font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Calibri"/>
      <family val="2"/>
    </font>
    <font>
      <b/>
      <sz val="10"/>
      <name val="Arial"/>
      <family val="2"/>
    </font>
    <font>
      <sz val="11"/>
      <color rgb="FF000000"/>
      <name val="Calibri"/>
      <family val="2"/>
    </font>
    <font>
      <b/>
      <sz val="14"/>
      <color rgb="FFFF0000"/>
      <name val="Calibri"/>
      <family val="2"/>
    </font>
    <font>
      <b/>
      <sz val="11"/>
      <color rgb="FFFF0000"/>
      <name val="Calibri"/>
      <family val="2"/>
    </font>
    <font>
      <sz val="10"/>
      <color rgb="FF000000"/>
      <name val="Arial"/>
      <family val="2"/>
    </font>
    <font>
      <sz val="12"/>
      <color theme="1"/>
      <name val="Calibri"/>
      <family val="2"/>
      <scheme val="minor"/>
    </font>
    <font>
      <b/>
      <sz val="12"/>
      <name val="Arial"/>
      <family val="2"/>
    </font>
    <font>
      <sz val="12"/>
      <color rgb="FF000000"/>
      <name val="Calibri"/>
      <family val="2"/>
      <scheme val="minor"/>
    </font>
    <font>
      <sz val="10"/>
      <color rgb="FFFF0000"/>
      <name val="Arial"/>
      <family val="2"/>
    </font>
    <font>
      <b/>
      <sz val="10"/>
      <color rgb="FF000000"/>
      <name val="Arial"/>
      <family val="2"/>
    </font>
    <font>
      <b/>
      <sz val="10"/>
      <color rgb="FFFF0000"/>
      <name val="Arial"/>
      <family val="2"/>
    </font>
    <font>
      <sz val="10"/>
      <color rgb="FF000000"/>
      <name val="Arial"/>
      <family val="2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8" fillId="0" borderId="0" applyFont="0" applyFill="0" applyBorder="0" applyAlignment="0" applyProtection="0"/>
  </cellStyleXfs>
  <cellXfs count="79">
    <xf numFmtId="0" fontId="0" fillId="0" borderId="0" xfId="0" applyFont="1" applyAlignment="1"/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168" fontId="1" fillId="0" borderId="0" xfId="0" applyNumberFormat="1" applyFont="1" applyAlignment="1">
      <alignment horizontal="righ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/>
    </xf>
    <xf numFmtId="167" fontId="1" fillId="0" borderId="0" xfId="0" applyNumberFormat="1" applyFont="1" applyAlignment="1">
      <alignment horizontal="center" vertical="top" wrapText="1"/>
    </xf>
    <xf numFmtId="0" fontId="1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vertical="top" wrapText="1"/>
    </xf>
    <xf numFmtId="0" fontId="4" fillId="2" borderId="3" xfId="0" applyFont="1" applyFill="1" applyBorder="1" applyAlignment="1">
      <alignment horizontal="center" vertical="top" wrapText="1"/>
    </xf>
    <xf numFmtId="165" fontId="4" fillId="2" borderId="3" xfId="0" applyNumberFormat="1" applyFont="1" applyFill="1" applyBorder="1" applyAlignment="1">
      <alignment vertical="top" wrapText="1"/>
    </xf>
    <xf numFmtId="166" fontId="4" fillId="2" borderId="3" xfId="0" applyNumberFormat="1" applyFont="1" applyFill="1" applyBorder="1" applyAlignment="1">
      <alignment vertical="top" wrapText="1"/>
    </xf>
    <xf numFmtId="165" fontId="4" fillId="2" borderId="4" xfId="0" applyNumberFormat="1" applyFont="1" applyFill="1" applyBorder="1" applyAlignment="1">
      <alignment vertical="top" wrapText="1"/>
    </xf>
    <xf numFmtId="0" fontId="1" fillId="3" borderId="1" xfId="0" applyFont="1" applyFill="1" applyBorder="1" applyAlignment="1">
      <alignment horizontal="center" vertical="center" wrapText="1"/>
    </xf>
    <xf numFmtId="167" fontId="1" fillId="3" borderId="1" xfId="0" applyNumberFormat="1" applyFont="1" applyFill="1" applyBorder="1" applyAlignment="1">
      <alignment horizontal="center" vertical="center" wrapText="1"/>
    </xf>
    <xf numFmtId="168" fontId="1" fillId="3" borderId="1" xfId="0" applyNumberFormat="1" applyFont="1" applyFill="1" applyBorder="1" applyAlignment="1">
      <alignment horizontal="center" vertical="center" wrapText="1"/>
    </xf>
    <xf numFmtId="0" fontId="0" fillId="3" borderId="1" xfId="0" applyFont="1" applyFill="1" applyBorder="1" applyAlignment="1"/>
    <xf numFmtId="168" fontId="5" fillId="3" borderId="1" xfId="0" applyNumberFormat="1" applyFont="1" applyFill="1" applyBorder="1" applyAlignment="1">
      <alignment horizontal="center" vertical="center" wrapText="1"/>
    </xf>
    <xf numFmtId="167" fontId="5" fillId="3" borderId="1" xfId="0" quotePrefix="1" applyNumberFormat="1" applyFont="1" applyFill="1" applyBorder="1" applyAlignment="1">
      <alignment horizontal="center" vertical="center" wrapText="1"/>
    </xf>
    <xf numFmtId="44" fontId="0" fillId="3" borderId="1" xfId="0" applyNumberFormat="1" applyFont="1" applyFill="1" applyBorder="1" applyAlignment="1">
      <alignment vertical="center"/>
    </xf>
    <xf numFmtId="167" fontId="1" fillId="3" borderId="1" xfId="0" quotePrefix="1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/>
    <xf numFmtId="0" fontId="5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3" fontId="7" fillId="3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vertical="center" wrapText="1"/>
    </xf>
    <xf numFmtId="168" fontId="7" fillId="3" borderId="1" xfId="0" applyNumberFormat="1" applyFont="1" applyFill="1" applyBorder="1" applyAlignment="1">
      <alignment horizontal="center" vertical="center" wrapText="1"/>
    </xf>
    <xf numFmtId="167" fontId="7" fillId="3" borderId="1" xfId="0" quotePrefix="1" applyNumberFormat="1" applyFont="1" applyFill="1" applyBorder="1" applyAlignment="1">
      <alignment horizontal="center" vertical="center" wrapText="1"/>
    </xf>
    <xf numFmtId="165" fontId="10" fillId="2" borderId="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vertical="center" wrapText="1"/>
    </xf>
    <xf numFmtId="0" fontId="1" fillId="3" borderId="7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vertical="top" wrapText="1"/>
    </xf>
    <xf numFmtId="0" fontId="1" fillId="4" borderId="7" xfId="0" applyFont="1" applyFill="1" applyBorder="1" applyAlignment="1">
      <alignment vertical="center" wrapText="1"/>
    </xf>
    <xf numFmtId="164" fontId="0" fillId="3" borderId="1" xfId="1" applyFont="1" applyFill="1" applyBorder="1" applyAlignment="1">
      <alignment horizontal="center" vertical="center"/>
    </xf>
    <xf numFmtId="164" fontId="15" fillId="3" borderId="1" xfId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164" fontId="15" fillId="3" borderId="1" xfId="1" quotePrefix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vertical="center"/>
    </xf>
    <xf numFmtId="0" fontId="11" fillId="3" borderId="1" xfId="0" applyFont="1" applyFill="1" applyBorder="1" applyAlignment="1">
      <alignment vertical="center"/>
    </xf>
    <xf numFmtId="0" fontId="9" fillId="3" borderId="1" xfId="0" applyFont="1" applyFill="1" applyBorder="1" applyAlignment="1">
      <alignment horizontal="left" vertical="center"/>
    </xf>
    <xf numFmtId="0" fontId="1" fillId="3" borderId="7" xfId="0" applyFont="1" applyFill="1" applyBorder="1" applyAlignment="1">
      <alignment vertical="top" wrapText="1"/>
    </xf>
    <xf numFmtId="0" fontId="1" fillId="3" borderId="1" xfId="0" applyFont="1" applyFill="1" applyBorder="1" applyAlignment="1">
      <alignment horizontal="left" vertical="center" wrapText="1"/>
    </xf>
    <xf numFmtId="0" fontId="0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top" wrapText="1"/>
    </xf>
    <xf numFmtId="165" fontId="16" fillId="2" borderId="1" xfId="0" applyNumberFormat="1" applyFont="1" applyFill="1" applyBorder="1" applyAlignment="1">
      <alignment horizontal="center" vertical="center" wrapText="1"/>
    </xf>
    <xf numFmtId="0" fontId="1" fillId="3" borderId="1" xfId="0" quotePrefix="1" applyNumberFormat="1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4" fillId="3" borderId="9" xfId="0" applyFont="1" applyFill="1" applyBorder="1" applyAlignment="1">
      <alignment horizontal="center" vertical="center"/>
    </xf>
    <xf numFmtId="0" fontId="0" fillId="3" borderId="9" xfId="0" applyFont="1" applyFill="1" applyBorder="1" applyAlignment="1">
      <alignment horizontal="center" vertical="center"/>
    </xf>
    <xf numFmtId="0" fontId="1" fillId="3" borderId="9" xfId="0" quotePrefix="1" applyNumberFormat="1" applyFont="1" applyFill="1" applyBorder="1" applyAlignment="1">
      <alignment horizontal="center" vertical="center" wrapText="1"/>
    </xf>
    <xf numFmtId="164" fontId="8" fillId="3" borderId="1" xfId="1" applyFont="1" applyFill="1" applyBorder="1" applyAlignment="1">
      <alignment horizontal="center" vertical="center"/>
    </xf>
    <xf numFmtId="164" fontId="0" fillId="3" borderId="6" xfId="1" applyFont="1" applyFill="1" applyBorder="1" applyAlignment="1">
      <alignment horizontal="center" vertical="center"/>
    </xf>
    <xf numFmtId="0" fontId="1" fillId="3" borderId="9" xfId="0" applyFont="1" applyFill="1" applyBorder="1" applyAlignment="1">
      <alignment vertical="center" wrapText="1"/>
    </xf>
    <xf numFmtId="164" fontId="0" fillId="3" borderId="9" xfId="1" applyFont="1" applyFill="1" applyBorder="1" applyAlignment="1">
      <alignment horizontal="center" vertical="center"/>
    </xf>
    <xf numFmtId="167" fontId="0" fillId="3" borderId="1" xfId="1" applyNumberFormat="1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4" fillId="3" borderId="8" xfId="0" applyFont="1" applyFill="1" applyBorder="1" applyAlignment="1">
      <alignment horizontal="center" vertical="center"/>
    </xf>
    <xf numFmtId="0" fontId="14" fillId="3" borderId="9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0" fillId="3" borderId="9" xfId="0" applyFont="1" applyFill="1" applyBorder="1" applyAlignment="1">
      <alignment horizontal="center" vertical="center"/>
    </xf>
    <xf numFmtId="3" fontId="1" fillId="3" borderId="8" xfId="0" applyNumberFormat="1" applyFont="1" applyFill="1" applyBorder="1" applyAlignment="1">
      <alignment horizontal="center" vertical="center" wrapText="1"/>
    </xf>
    <xf numFmtId="3" fontId="1" fillId="3" borderId="9" xfId="0" applyNumberFormat="1" applyFont="1" applyFill="1" applyBorder="1" applyAlignment="1">
      <alignment horizontal="center" vertical="center" wrapText="1"/>
    </xf>
    <xf numFmtId="0" fontId="1" fillId="3" borderId="8" xfId="0" quotePrefix="1" applyNumberFormat="1" applyFont="1" applyFill="1" applyBorder="1" applyAlignment="1">
      <alignment horizontal="center" vertical="center" wrapText="1"/>
    </xf>
    <xf numFmtId="0" fontId="1" fillId="3" borderId="9" xfId="0" quotePrefix="1" applyNumberFormat="1" applyFont="1" applyFill="1" applyBorder="1" applyAlignment="1">
      <alignment horizontal="center"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3.xml"/><Relationship Id="rId21" Type="http://schemas.openxmlformats.org/officeDocument/2006/relationships/externalLink" Target="externalLinks/externalLink18.xml"/><Relationship Id="rId42" Type="http://schemas.openxmlformats.org/officeDocument/2006/relationships/externalLink" Target="externalLinks/externalLink39.xml"/><Relationship Id="rId47" Type="http://schemas.openxmlformats.org/officeDocument/2006/relationships/externalLink" Target="externalLinks/externalLink44.xml"/><Relationship Id="rId63" Type="http://schemas.openxmlformats.org/officeDocument/2006/relationships/externalLink" Target="externalLinks/externalLink60.xml"/><Relationship Id="rId68" Type="http://schemas.openxmlformats.org/officeDocument/2006/relationships/sharedStrings" Target="sharedStrings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9" Type="http://schemas.openxmlformats.org/officeDocument/2006/relationships/externalLink" Target="externalLinks/externalLink26.xml"/><Relationship Id="rId11" Type="http://schemas.openxmlformats.org/officeDocument/2006/relationships/externalLink" Target="externalLinks/externalLink8.xml"/><Relationship Id="rId24" Type="http://schemas.openxmlformats.org/officeDocument/2006/relationships/externalLink" Target="externalLinks/externalLink21.xml"/><Relationship Id="rId32" Type="http://schemas.openxmlformats.org/officeDocument/2006/relationships/externalLink" Target="externalLinks/externalLink29.xml"/><Relationship Id="rId37" Type="http://schemas.openxmlformats.org/officeDocument/2006/relationships/externalLink" Target="externalLinks/externalLink34.xml"/><Relationship Id="rId40" Type="http://schemas.openxmlformats.org/officeDocument/2006/relationships/externalLink" Target="externalLinks/externalLink37.xml"/><Relationship Id="rId45" Type="http://schemas.openxmlformats.org/officeDocument/2006/relationships/externalLink" Target="externalLinks/externalLink42.xml"/><Relationship Id="rId53" Type="http://schemas.openxmlformats.org/officeDocument/2006/relationships/externalLink" Target="externalLinks/externalLink50.xml"/><Relationship Id="rId58" Type="http://schemas.openxmlformats.org/officeDocument/2006/relationships/externalLink" Target="externalLinks/externalLink55.xml"/><Relationship Id="rId6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61" Type="http://schemas.openxmlformats.org/officeDocument/2006/relationships/externalLink" Target="externalLinks/externalLink58.xml"/><Relationship Id="rId19" Type="http://schemas.openxmlformats.org/officeDocument/2006/relationships/externalLink" Target="externalLinks/externalLink1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Relationship Id="rId27" Type="http://schemas.openxmlformats.org/officeDocument/2006/relationships/externalLink" Target="externalLinks/externalLink24.xml"/><Relationship Id="rId30" Type="http://schemas.openxmlformats.org/officeDocument/2006/relationships/externalLink" Target="externalLinks/externalLink27.xml"/><Relationship Id="rId35" Type="http://schemas.openxmlformats.org/officeDocument/2006/relationships/externalLink" Target="externalLinks/externalLink32.xml"/><Relationship Id="rId43" Type="http://schemas.openxmlformats.org/officeDocument/2006/relationships/externalLink" Target="externalLinks/externalLink40.xml"/><Relationship Id="rId48" Type="http://schemas.openxmlformats.org/officeDocument/2006/relationships/externalLink" Target="externalLinks/externalLink45.xml"/><Relationship Id="rId56" Type="http://schemas.openxmlformats.org/officeDocument/2006/relationships/externalLink" Target="externalLinks/externalLink53.xml"/><Relationship Id="rId64" Type="http://schemas.openxmlformats.org/officeDocument/2006/relationships/externalLink" Target="externalLinks/externalLink61.xml"/><Relationship Id="rId69" Type="http://schemas.openxmlformats.org/officeDocument/2006/relationships/calcChain" Target="calcChain.xml"/><Relationship Id="rId8" Type="http://schemas.openxmlformats.org/officeDocument/2006/relationships/externalLink" Target="externalLinks/externalLink5.xml"/><Relationship Id="rId51" Type="http://schemas.openxmlformats.org/officeDocument/2006/relationships/externalLink" Target="externalLinks/externalLink48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externalLink" Target="externalLinks/externalLink22.xml"/><Relationship Id="rId33" Type="http://schemas.openxmlformats.org/officeDocument/2006/relationships/externalLink" Target="externalLinks/externalLink30.xml"/><Relationship Id="rId38" Type="http://schemas.openxmlformats.org/officeDocument/2006/relationships/externalLink" Target="externalLinks/externalLink35.xml"/><Relationship Id="rId46" Type="http://schemas.openxmlformats.org/officeDocument/2006/relationships/externalLink" Target="externalLinks/externalLink43.xml"/><Relationship Id="rId59" Type="http://schemas.openxmlformats.org/officeDocument/2006/relationships/externalLink" Target="externalLinks/externalLink56.xml"/><Relationship Id="rId67" Type="http://schemas.openxmlformats.org/officeDocument/2006/relationships/styles" Target="styles.xml"/><Relationship Id="rId20" Type="http://schemas.openxmlformats.org/officeDocument/2006/relationships/externalLink" Target="externalLinks/externalLink17.xml"/><Relationship Id="rId41" Type="http://schemas.openxmlformats.org/officeDocument/2006/relationships/externalLink" Target="externalLinks/externalLink38.xml"/><Relationship Id="rId54" Type="http://schemas.openxmlformats.org/officeDocument/2006/relationships/externalLink" Target="externalLinks/externalLink51.xml"/><Relationship Id="rId62" Type="http://schemas.openxmlformats.org/officeDocument/2006/relationships/externalLink" Target="externalLinks/externalLink5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externalLink" Target="externalLinks/externalLink25.xml"/><Relationship Id="rId36" Type="http://schemas.openxmlformats.org/officeDocument/2006/relationships/externalLink" Target="externalLinks/externalLink33.xml"/><Relationship Id="rId49" Type="http://schemas.openxmlformats.org/officeDocument/2006/relationships/externalLink" Target="externalLinks/externalLink46.xml"/><Relationship Id="rId57" Type="http://schemas.openxmlformats.org/officeDocument/2006/relationships/externalLink" Target="externalLinks/externalLink54.xml"/><Relationship Id="rId10" Type="http://schemas.openxmlformats.org/officeDocument/2006/relationships/externalLink" Target="externalLinks/externalLink7.xml"/><Relationship Id="rId31" Type="http://schemas.openxmlformats.org/officeDocument/2006/relationships/externalLink" Target="externalLinks/externalLink28.xml"/><Relationship Id="rId44" Type="http://schemas.openxmlformats.org/officeDocument/2006/relationships/externalLink" Target="externalLinks/externalLink41.xml"/><Relationship Id="rId52" Type="http://schemas.openxmlformats.org/officeDocument/2006/relationships/externalLink" Target="externalLinks/externalLink49.xml"/><Relationship Id="rId60" Type="http://schemas.openxmlformats.org/officeDocument/2006/relationships/externalLink" Target="externalLinks/externalLink57.xml"/><Relationship Id="rId65" Type="http://schemas.openxmlformats.org/officeDocument/2006/relationships/externalLink" Target="externalLinks/externalLink62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39" Type="http://schemas.openxmlformats.org/officeDocument/2006/relationships/externalLink" Target="externalLinks/externalLink36.xml"/><Relationship Id="rId34" Type="http://schemas.openxmlformats.org/officeDocument/2006/relationships/externalLink" Target="externalLinks/externalLink31.xml"/><Relationship Id="rId50" Type="http://schemas.openxmlformats.org/officeDocument/2006/relationships/externalLink" Target="externalLinks/externalLink47.xml"/><Relationship Id="rId55" Type="http://schemas.openxmlformats.org/officeDocument/2006/relationships/externalLink" Target="externalLinks/externalLink5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EOF\ARQUIVO%202018\EXECU&#199;&#195;O%20OR&#199;AMENT&#193;RIA%20E%20FINANCEIRA\INFORMA&#199;&#213;ES%20DE%20CONTRATOS\1%20-%20Vigentes%20-%20Individuais\ELDEX%20Dist.%20jornais%20e%20Revistas\Acomp%20CT%20031.2017%20-%20Eldex%20Dist.%20jornais%20e%20Revistas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EOF\ARQUIVO%202018\EXECU&#199;&#195;O%20OR&#199;AMENT&#193;RIA%20E%20FINANCEIRA\INFORMA&#199;&#213;ES%20DE%20CONTRATOS\1%20-%20Vigentes%20-%20Individuais\Apece%20-%20Servi&#231;os%20Gerais%20-%20DIGITALIZADO\Acomp%20CT%20032%202014%20-%20APEC&#202;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EOF\ARQUIVO%202017\EXECU&#199;&#195;O%20OR&#199;AMENT&#193;RIA%20E%20FINANCEIRA\INFORMA&#199;&#213;ES%20DE%20CONTRATOS\1%20-%20Vigentes%20-%20Individuais\Vis&#227;o\Acomp%20CT%20011%202015%20-%20Vis&#227;o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EOF\ARQUIVO%202018\EXECU&#199;&#195;O%20OR&#199;AMENT&#193;RIA%20E%20FINANCEIRA\INFORMA&#199;&#213;ES%20DE%20CONTRATOS\1%20-%20Vigentes%20-%20Individuais\Vis&#227;o\Acomp%20CT%20011%202015%20-%20Vis&#227;o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EOF\ARQUIVO%202017\EXECU&#199;&#195;O%20OR&#199;AMENT&#193;RIA%20E%20FINANCEIRA\INFORMA&#199;&#213;ES%20DE%20CONTRATOS\1%20-%20Vigentes%20-%20Individuais\HEPTA%20Tecnologia%20e%20Informatica%20-%20DIGITALIZADO\Acomp%20CT%20004.2016%20HEPTA%20Tecnologia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EOF\ARQUIVO%202017\EXECU&#199;&#195;O%20OR&#199;AMENT&#193;RIA%20E%20FINANCEIRA\INFORMA&#199;&#213;ES%20DE%20CONTRATOS\1%20-%20Vigentes%20-%20Individuais\Samio%20Bandeira%20ME\Acomp%20CT%20019%202012%20SAMIO%20BANDEIRA%20-%20ME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EOF\ARQUIVO%202017\EXECU&#199;&#195;O%20OR&#199;AMENT&#193;RIA%20E%20FINANCEIRA\INFORMA&#199;&#213;ES%20DE%20CONTRATOS\1%20-%20Vigentes%20-%20Individuais\EBC\Acomp%20CT%20029%202012%20EBC%20-%20Publicidade%20Legal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EOF\ARQUIVO%202017\EXECU&#199;&#195;O%20OR&#199;AMENT&#193;RIA%20E%20FINANCEIRA\INFORMA&#199;&#213;ES%20DE%20CONTRATOS\1%20-%20Vigentes%20-%20Individuais\Unify%20-%20Solu&#231;&#245;es%20em%20Tecnologia%20-%20DIGITALIZADO\CT%20016%202014%20UNIFY%20TELEFONIA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EOF\ARQUIVO%202018\EXECU&#199;&#195;O%20OR&#199;AMENT&#193;RIA%20E%20FINANCEIRA\INFORMA&#199;&#213;ES%20DE%20CONTRATOS\1%20-%20Vigentes%20-%20Individuais\Unify%20-%20Solu&#231;&#245;es%20em%20Tecnologia%20-%20DIGITALIZADO\CT%20016%202014%20UNIFY%20TELEFONIA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EOF\ARQUIVO%202017\EXECU&#199;&#195;O%20OR&#199;AMENT&#193;RIA%20E%20FINANCEIRA\INFORMA&#199;&#213;ES%20DE%20CONTRATOS\1%20-%20Vigentes%20-%20Individuais\ASC%20Service%20Seguran&#231;a%20-%20VIGILANTES\Acomp%20CT%20029%202014%20-%20ASC%20SERVICE%20SEGURAN&#199;A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EOF\ARQUIVO%202018\EXECU&#199;&#195;O%20OR&#199;AMENT&#193;RIA%20E%20FINANCEIRA\INFORMA&#199;&#213;ES%20DE%20CONTRATOS\1%20-%20Vigentes%20-%20Individuais\ASC%20Service%20Seguran&#231;a%20-%20VIGILANTES\Acomp%20CT%20029%202014%20-%20ASC%20SERVICE%20SEGURAN&#199;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EOF\ARQUIVO%202018\EXECU&#199;&#195;O%20OR&#199;AMENT&#193;RIA%20E%20FINANCEIRA\INFORMA&#199;&#213;ES%20DE%20CONTRATOS\1%20-%20Vigentes%20-%20Individuais\Soltech\Acomp.%20CT%20030.2017%20-%20Soltech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EOF\ARQUIVO%202017\EXECU&#199;&#195;O%20OR&#199;AMENT&#193;RIA%20E%20FINANCEIRA\INFORMA&#199;&#213;ES%20DE%20CONTRATOS\1%20-%20Vigentes%20-%20Individuais\Gartner%20do%20Brasil%20-%20DIGITALIZADO\Acomp%20CT%20001.2015%20-%20Gartner%20do%20Brasil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EOF\ARQUIVO%202017\EXECU&#199;&#195;O%20OR&#199;AMENT&#193;RIA%20E%20FINANCEIRA\INFORMA&#199;&#213;ES%20DE%20CONTRATOS\1%20-%20Vigentes%20-%20Individuais\FIPE%20-%20Funda&#231;&#227;o%20Instituto%20de%20Pesquisa%20-%20UGE%20540006%20e%20540004\Acom%20CT%20023%202016%20Fipe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EOF\ARQUIVO%202017\EXECU&#199;&#195;O%20OR&#199;AMENT&#193;RIA%20E%20FINANCEIRA\INFORMA&#199;&#213;ES%20DE%20CONTRATOS\1%20-%20Vigentes%20-%20Individuais\FIPE%20-%20Funda&#231;&#227;o%20Instituto%20de%20Pesquisa%20-%20UGE%20540006%20e%20540004\Acom%20CT%20010%202017%20Fipe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EOF\ARQUIVO%202017\EXECU&#199;&#195;O%20OR&#199;AMENT&#193;RIA%20E%20FINANCEIRA\INFORMA&#199;&#213;ES%20DE%20CONTRATOS\1%20-%20Vigentes%20-%20Individuais\ORION%20Telecomunica&#231;&#245;es\Acomp%20CT%20%20017.2017%20ORION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EOF\ARQUIVO%202017\EXECU&#199;&#195;O%20OR&#199;AMENT&#193;RIA%20E%20FINANCEIRA\INFORMA&#199;&#213;ES%20DE%20CONTRATOS\1%20-%20Vigentes%20-%20Individuais\Panacopy%20-%20OutSourcing\Acomp%20CT%20022.2017%20PANACOPY%20OutSourcing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EOF\ARQUIVO%202017\EXECU&#199;&#195;O%20OR&#199;AMENT&#193;RIA%20E%20FINANCEIRA\INFORMA&#199;&#213;ES%20DE%20CONTRATOS\1%20-%20Vigentes%20-%20Individuais\RDJ%20ASSESSORIA%20-%20Secret&#225;ria\Acomp%20CT%20011.2016%20-%20RDJ%20ASSESSORIA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EOF\ARQUIVO%202018\EXECU&#199;&#195;O%20OR&#199;AMENT&#193;RIA%20E%20FINANCEIRA\INFORMA&#199;&#213;ES%20DE%20CONTRATOS\1%20-%20Vigentes%20-%20Individuais\RDJ%20ASSESSORIA%20-%20Secret&#225;ria\Acomp%20CT%20011.2016%20-%20RDJ%20ASSESSORIA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EOF\ARQUIVO%202017\EXECU&#199;&#195;O%20OR&#199;AMENT&#193;RIA%20E%20FINANCEIRA\INFORMA&#199;&#213;ES%20DE%20CONTRATOS\1%20-%20Vigentes%20-%20Individuais\TR&#202;S%20R%20Loca&#231;&#227;o%20de%20Ve&#237;culos\Acomp%20CT%20015.2017%20-%203R%20Loca&#231;&#227;o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EOF\ARQUIVO%202017\EXECU&#199;&#195;O%20OR&#199;AMENT&#193;RIA%20E%20FINANCEIRA\INFORMA&#199;&#213;ES%20DE%20CONTRATOS\1%20-%20Vigentes%20-%20Individuais\Mudan&#231;as%20Cinco%20Estrelas\Acomp.%20CT%20005.2017%20-%20Mudan&#231;as%20Cinco%20Estrelas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EOF\ARQUIVO%202017\EXECU&#199;&#195;O%20OR&#199;AMENT&#193;RIA%20E%20FINANCEIRA\INFORMA&#199;&#213;ES%20DE%20CONTRATOS\1%20-%20Vigentes%20-%20Individuais\WR%20Comercial\CT%20010.2016%20-%20WR%20Comercial\Acomp%20CT%20010.2016%20-%20WR%20Comercial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EOF\ARQUIVO%202017\EXECU&#199;&#195;O%20OR&#199;AMENT&#193;RIA%20E%20FINANCEIRA\INFORMA&#199;&#213;ES%20DE%20CONTRATOS\1%20-%20Vigentes%20-%20Individuais\FSB%20-%20Comunica&#231;&#227;o%20e%20Planejamento\NOVO%20CT%20003.2017%20-%20FSB\Acomp%20CT%20%20003.2017%20FSB%20-%20NOVO.xlsx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EOF\ARQUIVO%202018\EXECU&#199;&#195;O%20OR&#199;AMENT&#193;RIA%20E%20FINANCEIRA\INFORMA&#199;&#213;ES%20DE%20CONTRATOS\1%20-%20Vigentes%20-%20Individuais\WR%20Comercial\CT%20010.2016%20-%20WR%20Comercial\Acomp%20CT%20010.2016%20-%20WR%20Comercial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EOF\ARQUIVO%202017\EXECU&#199;&#195;O%20OR&#199;AMENT&#193;RIA%20E%20FINANCEIRA\INFORMA&#199;&#213;ES%20DE%20CONTRATOS\1%20-%20Vigentes%20-%20Individuais\SERPRO\C.T%20023.2014%20-%20INFOCONV\Acomp%20CT%20023%202014%20SERPRO%20-%20CPF%20e%20CNPJ%20-%20INFOCONV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EOF\ARQUIVO%202017\EXECU&#199;&#195;O%20OR&#199;AMENT&#193;RIA%20E%20FINANCEIRA\INFORMA&#199;&#213;ES%20DE%20CONTRATOS\1%20-%20Vigentes%20-%20Individuais\SERPRO\C.T%20027.2014%20-%20INFOVIA\Acomp%20CT%20027%202014%20SERPRO%20-%20INFOVIA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EOF\ARQUIVO%202018\EXECU&#199;&#195;O%20OR&#199;AMENT&#193;RIA%20E%20FINANCEIRA\INFORMA&#199;&#213;ES%20DE%20CONTRATOS\1%20-%20Vigentes%20-%20Individuais\SERPRO\C.T%20027.2014%20-%20INFOVIA\Acomp%20CT%20027%202014%20SERPRO%20-%20INFOVIA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EOF\ARQUIVO%202017\EXECU&#199;&#195;O%20OR&#199;AMENT&#193;RIA%20E%20FINANCEIRA\INFORMA&#199;&#213;ES%20DE%20CONTRATOS\1%20-%20Vigentes%20-%20Individuais\CLARO\CT%20031%202014%20EMBRATEL.CLARO%20-%20TELEFONIA%20FIXO.%20INTERURBANO%20E%20FIXO%20PARA%20M&#211;VEL%20-%20DIGITALIZADO\CT%20031%202014%20EMBRATEL%20-%20Fixo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EOF\ARQUIVO%202018\EXECU&#199;&#195;O%20OR&#199;AMENT&#193;RIA%20E%20FINANCEIRA\INFORMA&#199;&#213;ES%20DE%20CONTRATOS\1%20-%20Vigentes%20-%20Individuais\CLARO\CT%20031%202014%20EMBRATEL.CLARO%20-%20TELEFONIA%20FIXO.%20INTERURBANO%20E%20FIXO%20PARA%20M&#211;VEL%20-%20DIGITALIZADO\CT%20031%202014%20EMBRATEL%20-%20Fixo.xlsx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EOF\ARQUIVO%202017\EXECU&#199;&#195;O%20OR&#199;AMENT&#193;RIA%20E%20FINANCEIRA\INFORMA&#199;&#213;ES%20DE%20CONTRATOS\1%20-%20Vigentes%20-%20Individuais\CLARO\CT%20026%202013%20CLARO%20-%20TELEFONIA%20MOVEL%20LOCAL\CT%20026%202013%20CLARO.xlsx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EOF\ARQUIVO%202018\EXECU&#199;&#195;O%20OR&#199;AMENT&#193;RIA%20E%20FINANCEIRA\INFORMA&#199;&#213;ES%20DE%20CONTRATOS\1%20-%20Vigentes%20-%20Individuais\CLARO\CT%20026%202013%20CLARO%20-%20TELEFONIA%20MOVEL%20LOCAL\CT%20026%202013%20CLARO.xlsx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EOF\ARQUIVO%202017\EXECU&#199;&#195;O%20OR&#199;AMENT&#193;RIA%20E%20FINANCEIRA\INFORMA&#199;&#213;ES%20DE%20CONTRATOS\1%20-%20Vigentes%20-%20Individuais\CLARO\CT%20027%202013%20EMBRATEL.CLARO%20-%20TELEFONIA%20MOVEL%20INTERURBANO\CT%20027%202013%20EMBRATEL.CLARO%20-%20TELEFONIA%20MOVEL%20INTERURBANO.xlsx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EOF\ARQUIVO%202018\EXECU&#199;&#195;O%20OR&#199;AMENT&#193;RIA%20E%20FINANCEIRA\INFORMA&#199;&#213;ES%20DE%20CONTRATOS\1%20-%20Vigentes%20-%20Individuais\CLARO\CT%20027%202013%20EMBRATEL.CLARO%20-%20TELEFONIA%20MOVEL%20INTERURBANO\CT%20027%202013%20EMBRATEL.CLARO%20-%20TELEFONIA%20MOVEL%20INTERURBANO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EOF\ARQUIVO%202017\EXECU&#199;&#195;O%20OR&#199;AMENT&#193;RIA%20E%20FINANCEIRA\INFORMA&#199;&#213;ES%20DE%20CONTRATOS\1%20-%20Vigentes%20-%20Individuais\ECT\Acomp.%20CT%20024%202013%20-%20ECT.xlsx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EOF\ARQUIVO%202017\EXECU&#199;&#195;O%20OR&#199;AMENT&#193;RIA%20E%20FINANCEIRA\INFORMA&#199;&#213;ES%20DE%20CONTRATOS\1%20-%20Vigentes%20-%20Individuais\Ant&#244;nio%20Ven&#226;ncio%20-%20DIGITALIZADO\Acomp%20CT%20001%202014%20-%20Ven&#226;ncio%203000.xlsx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EOF\ARQUIVO%202018\EXECU&#199;&#195;O%20OR&#199;AMENT&#193;RIA%20E%20FINANCEIRA\INFORMA&#199;&#213;ES%20DE%20CONTRATOS\1%20-%20Vigentes%20-%20Individuais\CEB\C.T%20016.2016%20-%20CEB%20-%20SHOP%20ID\Acom%20CT%20016.2016%20CEB.xlsx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EOF\ARQUIVO%202017\EXECU&#199;&#195;O%20OR&#199;AMENT&#193;RIA%20E%20FINANCEIRA\INFORMA&#199;&#213;ES%20DE%20CONTRATOS\1%20-%20Vigentes%20-%20Individuais\Espa&#231;o%20e%20Forma\Acomp%20CT%20003%202013%20Espa&#231;o%20e%20Forma.xlsx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EOF\ARQUIVO%202018\EXECU&#199;&#195;O%20OR&#199;AMENT&#193;RIA%20E%20FINANCEIRA\INFORMA&#199;&#213;ES%20DE%20CONTRATOS\1%20-%20Vigentes%20-%20Individuais\Espa&#231;o%20e%20Forma\Acomp%20CT%20003%202013%20Espa&#231;o%20e%20Forma.xlsx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EOF\ARQUIVO%202017\EXECU&#199;&#195;O%20OR&#199;AMENT&#193;RIA%20E%20FINANCEIRA\INFORMA&#199;&#213;ES%20DE%20CONTRATOS\1%20-%20Vigentes%20-%20Individuais\Abrantes\Acomp%20CT%20%20019.2016%20ABRANTES.xlsx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EOF\ARQUIVO%202017\EXECU&#199;&#195;O%20OR&#199;AMENT&#193;RIA%20E%20FINANCEIRA\INFORMA&#199;&#213;ES%20DE%20CONTRATOS\1%20-%20Vigentes%20-%20Individuais\Ag&#234;ncia%20de%20Integra&#231;&#227;o%20Empresa%20Escola%20-%20Est&#225;gio\Acomp%20CT%20018.2017%20-%20AG&#202;NCIA%20DE%20INTEGRA&#199;&#195;O%20EMPRESA%20ESCOLA.xlsx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EOF\ARQUIVO%202018\EXECU&#199;&#195;O%20OR&#199;AMENT&#193;RIA%20E%20FINANCEIRA\INFORMA&#199;&#213;ES%20DE%20CONTRATOS\1%20-%20Vigentes%20-%20Individuais\AGIEL%20-%20Ag&#234;ncia%20de%20Integra&#231;&#227;o%20Empresa%20Escola%20-%20Est&#225;gio\Acomp%20CT%20018.2017%20-%20AG&#202;NCIA%20DE%20INTEGRA&#199;&#195;O%20EMPRESA%20ESCOLA.xlsx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EOF\ARQUIVO%202017\EXECU&#199;&#195;O%20OR&#199;AMENT&#193;RIA%20E%20FINANCEIRA\INFORMA&#199;&#213;ES%20DE%20CONTRATOS\1%20-%20Vigentes%20-%20Individuais\Prisma%20Sys%20Informatica%20(Lic.%20CONSIAFI)\Acomp%20CT%20011.2017%20Prisma%20Inf%20%20(Lic%20CONSIAFI).xlsx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EOF\ARQUIVO%202017\EXECU&#199;&#195;O%20OR&#199;AMENT&#193;RIA%20E%20FINANCEIRA\INFORMA&#199;&#213;ES%20DE%20CONTRATOS\1%20-%20Vigentes%20-%20Individuais\PICK%20UP%20Center\Acomp%20CT%20021.2016%20PICK-UP.xlsx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EOF\ARQUIVO%202017\EXECU&#199;&#195;O%20OR&#199;AMENT&#193;RIA%20E%20FINANCEIRA\INFORMA&#199;&#213;ES%20DE%20CONTRATOS\1%20-%20Vigentes%20-%20Individuais\DANDY%20Loca&#231;&#227;o%20Ve&#237;culos\CT%20025.2016%20Dandy%20Loca&#231;&#227;o%20Ve&#237;culos%20Item%20I%20-%20Nordeste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EOF\ARQUIVO%202018\EXECU&#199;&#195;O%20OR&#199;AMENT&#193;RIA%20E%20FINANCEIRA\INFORMA&#199;&#213;ES%20DE%20CONTRATOS\1%20-%20Vigentes%20-%20Individuais\ECT\Acomp.%20CT%20024%202013%20-%20ECT.xlsx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EOF\ARQUIVO%202017\EXECU&#199;&#195;O%20OR&#199;AMENT&#193;RIA%20E%20FINANCEIRA\INFORMA&#199;&#213;ES%20DE%20CONTRATOS\1%20-%20Vigentes%20-%20Individuais\Netsafe%20Corp%20Ltda\CT%20%20005.2015%20NETSAFE%20CORP%20LTDA.xlsx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EOF\ARQUIVO%202017\EXECU&#199;&#195;O%20OR&#199;AMENT&#193;RIA%20E%20FINANCEIRA\INFORMA&#199;&#213;ES%20DE%20CONTRATOS\1%20-%20Vigentes%20-%20Individuais\Petronorte%20Combustiveis\Acomp%20CT%20%20024.2016%20Petronorte%20Combustivel.xlsx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EOF\ARQUIVO%202018\EXECU&#199;&#195;O%20OR&#199;AMENT&#193;RIA%20E%20FINANCEIRA\INFORMA&#199;&#213;ES%20DE%20CONTRATOS\1%20-%20Vigentes%20-%20Individuais\Petronorte%20Combustiveis\CT%20024.2016%20-%20Petronorte\Acomp%20CT%20%20024.2016%20Petronorte%20Combustivel.xlsx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EOF\ARQUIVO%202017\EXECU&#199;&#195;O%20OR&#199;AMENT&#193;RIA%20E%20FINANCEIRA\INFORMA&#199;&#213;ES%20DE%20CONTRATOS\1%20-%20Vigentes%20-%20Individuais\Vip%20Service\CT%20014%202014%20Vip%20Service.xlsx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EOF\ARQUIVO%202017\EXECU&#199;&#195;O%20OR&#199;AMENT&#193;RIA%20E%20FINANCEIRA\INFORMA&#199;&#213;ES%20DE%20CONTRATOS\1%20-%20Vigentes%20-%20Individuais\CTX%20Tecnologia%20-%20Ar%20Condicionado\Acomp%20CT%20001.2017%20CTX%20Tecnologia.xlsx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EOF\ARQUIVO%202018\EXECU&#199;&#195;O%20OR&#199;AMENT&#193;RIA%20E%20FINANCEIRA\INFORMA&#199;&#213;ES%20DE%20CONTRATOS\1%20-%20Vigentes%20-%20Individuais\CTX%20Tecnologia%20-%20Ar%20Condicionado\Acomp%20CT%20001.2017%20CTX%20Tecnologia.xlsx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EOF\ARQUIVO%202017\EXECU&#199;&#195;O%20OR&#199;AMENT&#193;RIA%20E%20FINANCEIRA\INFORMA&#199;&#213;ES%20DE%20CONTRATOS\1%20-%20Vigentes%20-%20Individuais\FGV%20-%20Funda&#231;&#227;o%20Getulio%20Vargas%20-%20UGE%20540006%20e%20540004\Acom%20CT%20027%202016%20FGV.xlsx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EOF\ARQUIVO%202017\EXECU&#199;&#195;O%20OR&#199;AMENT&#193;RIA%20E%20FINANCEIRA\INFORMA&#199;&#213;ES%20DE%20CONTRATOS\1%20-%20Vigentes%20-%20Individuais\CTIS\Acomp%20CT%20020.2016%20CTIS%20-%20NOVO.xlsx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EOF\ARQUIVO%202018\EXECU&#199;&#195;O%20OR&#199;AMENT&#193;RIA%20E%20FINANCEIRA\INFORMA&#199;&#213;ES%20DE%20CONTRATOS\1%20-%20Vigentes%20-%20Individuais\CTIS\Acomp%20CT%20020.2016%20CTIS%20-%20NOVO.xlsx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EOF\ARQUIVO%202017\EXECU&#199;&#195;O%20OR&#199;AMENT&#193;RIA%20E%20FINANCEIRA\INFORMA&#199;&#213;ES%20DE%20CONTRATOS\1%20-%20Vigentes%20-%20Individuais\Barcelos%20Eventos\Acomp%20CT%20009.2017%20-%20Barcelos%20Evento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EOF\ARQUIVO%202017\EXECU&#199;&#195;O%20OR&#199;AMENT&#193;RIA%20E%20FINANCEIRA\INFORMA&#199;&#213;ES%20DE%20CONTRATOS\1%20-%20Vigentes%20-%20Individuais\Tellus%20telecomunica&#231;&#245;es\Acomp%20CT%2035%202014%20-%20Tellus%20-%20NOVO.xlsx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EOF\ARQUIVO%202017\EXECU&#199;&#195;O%20OR&#199;AMENT&#193;RIA%20E%20FINANCEIRA\INFORMA&#199;&#213;ES%20DE%20CONTRATOS\1%20-%20Vigentes%20-%20Individuais\VOETUR\Acomp%20CT%20016%202017%20-%20VOETUR.xlsx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/SPOA/CGRL/CEOF/CEOF/ARQUIVO%202019/EXECU&#199;&#195;O%20OR&#199;AMENT&#193;RIA%20E%20FINANCEIRA/INFORMA&#199;&#213;ES%20DE%20CONTRATOS/1%20-%20Vigentes%20-%20Individuais/FSB%20-%20Comunica&#231;&#227;o%20e%20Planejamento/CT%20003.2017%20-%20FSB/Acomp%20CT%20%20003.2017%20FSB%20-%20NOVO.xlsx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/SPOA/CGRL/CEOF/CEOF/ARQUIVO%202019/EXECU&#199;&#195;O%20OR&#199;AMENT&#193;RIA%20E%20FINANCEIRA/INFORMA&#199;&#213;ES%20DE%20CONTRATOS/1%20-%20Vigentes%20-%20Individuais/VOETUR/Acomp%20CT%20016%202017%20-%20VOETUR%20-%20Nova%20Planilha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EOF\ARQUIVO%202018\EXECU&#199;&#195;O%20OR&#199;AMENT&#193;RIA%20E%20FINANCEIRA\INFORMA&#199;&#213;ES%20DE%20CONTRATOS\1%20-%20Vigentes%20-%20Individuais\Tellus%20telecomunica&#231;&#245;es\Acomp%20CT%2035%202014%20-%20Tellus%20-%20NOVO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EOF\ARQUIVO%202017\EXECU&#199;&#195;O%20OR&#199;AMENT&#193;RIA%20E%20FINANCEIRA\INFORMA&#199;&#213;ES%20DE%20CONTRATOS\1%20-%20Vigentes%20-%20Individuais\Levit%20Com&#233;rcio%20Importa&#231;&#227;o%20e%20Exporta&#231;&#227;o%20-%20UGE%20540006\Acomp%20CT%20004%202014%20Levit%20Com&#233;rcio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EOF\ARQUIVO%202017\EXECU&#199;&#195;O%20OR&#199;AMENT&#193;RIA%20E%20FINANCEIRA\INFORMA&#199;&#213;ES%20DE%20CONTRATOS\1%20-%20Vigentes%20-%20Individuais\Apece%20-%20Servi&#231;os%20Gerais%20-%20DIGITALIZADO\Acomp%20CT%20032%202014%20-%20APEC&#20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 - 2019"/>
      <sheetName val="2017 - 2018"/>
    </sheetNames>
    <sheetDataSet>
      <sheetData sheetId="0"/>
      <sheetData sheetId="1">
        <row r="10">
          <cell r="H10">
            <v>2380.85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ecê 2018 - 2019"/>
      <sheetName val="Apecê 2017 - 2018"/>
      <sheetName val="Apecê 2016 - 2017"/>
      <sheetName val="Apecê 2015 - 2016"/>
      <sheetName val="Apecê 2014 - 2015"/>
    </sheetNames>
    <sheetDataSet>
      <sheetData sheetId="0"/>
      <sheetData sheetId="1">
        <row r="9">
          <cell r="E9">
            <v>865213.43999999994</v>
          </cell>
        </row>
        <row r="10">
          <cell r="H10">
            <v>65171.73</v>
          </cell>
        </row>
        <row r="11">
          <cell r="H11">
            <v>66898.62</v>
          </cell>
        </row>
      </sheetData>
      <sheetData sheetId="2"/>
      <sheetData sheetId="3"/>
      <sheetData sheetId="4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SAO 2017 - 2018"/>
      <sheetName val="VISAO 2016 - 2017"/>
      <sheetName val="VISAO 2015 - 2016"/>
    </sheetNames>
    <sheetDataSet>
      <sheetData sheetId="0">
        <row r="9">
          <cell r="H9">
            <v>113208</v>
          </cell>
        </row>
        <row r="13">
          <cell r="H13">
            <v>134108.28</v>
          </cell>
        </row>
      </sheetData>
      <sheetData sheetId="1">
        <row r="18">
          <cell r="H18">
            <v>114708.35</v>
          </cell>
        </row>
      </sheetData>
      <sheetData sheetId="2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SAO 2018 - 2019"/>
      <sheetName val="VISAO 2017 - 2018"/>
      <sheetName val="VISAO 2016 - 2017"/>
      <sheetName val="VISAO 2015 - 2016"/>
    </sheetNames>
    <sheetDataSet>
      <sheetData sheetId="0">
        <row r="9">
          <cell r="H9">
            <v>134108.28</v>
          </cell>
        </row>
      </sheetData>
      <sheetData sheetId="1">
        <row r="17">
          <cell r="H17">
            <v>134108.28</v>
          </cell>
        </row>
        <row r="18">
          <cell r="H18">
            <v>134108.28</v>
          </cell>
        </row>
      </sheetData>
      <sheetData sheetId="2"/>
      <sheetData sheetId="3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PTA 2017 - 2018"/>
      <sheetName val="HEPTA 2016 - 2017"/>
    </sheetNames>
    <sheetDataSet>
      <sheetData sheetId="0">
        <row r="10">
          <cell r="H10">
            <v>115002.51</v>
          </cell>
        </row>
        <row r="11">
          <cell r="H11">
            <v>81243.25</v>
          </cell>
        </row>
        <row r="12">
          <cell r="H12">
            <v>85988.95</v>
          </cell>
        </row>
      </sheetData>
      <sheetData sheetId="1">
        <row r="16">
          <cell r="H16">
            <v>88110.43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6 - 2017"/>
      <sheetName val="2015 - 2016"/>
      <sheetName val="2014 - 2015"/>
      <sheetName val="2013 - 2014"/>
      <sheetName val="2012 - 2013"/>
    </sheetNames>
    <sheetDataSet>
      <sheetData sheetId="0">
        <row r="12">
          <cell r="H12">
            <v>3253.03</v>
          </cell>
        </row>
        <row r="14">
          <cell r="H14">
            <v>3128.4</v>
          </cell>
        </row>
        <row r="15">
          <cell r="H15">
            <v>3522.2</v>
          </cell>
        </row>
        <row r="16">
          <cell r="H16">
            <v>3158.01</v>
          </cell>
        </row>
        <row r="17">
          <cell r="H17">
            <v>3618.36</v>
          </cell>
        </row>
        <row r="18">
          <cell r="H18">
            <v>3390.93</v>
          </cell>
        </row>
        <row r="20">
          <cell r="H20">
            <v>3627.07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6-2017"/>
      <sheetName val="2015-2016"/>
      <sheetName val="2014-2015"/>
      <sheetName val="2013-2014"/>
      <sheetName val="2012-2013"/>
    </sheetNames>
    <sheetDataSet>
      <sheetData sheetId="0">
        <row r="12">
          <cell r="H12">
            <v>1982.4</v>
          </cell>
        </row>
        <row r="13">
          <cell r="H13">
            <v>1163.25</v>
          </cell>
        </row>
        <row r="14">
          <cell r="H14">
            <v>1240.77</v>
          </cell>
        </row>
        <row r="15">
          <cell r="H15">
            <v>1085.7</v>
          </cell>
        </row>
        <row r="16">
          <cell r="H16">
            <v>1085.7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7 - 2018"/>
      <sheetName val="2016 - 2017"/>
      <sheetName val="2015 - 2016"/>
      <sheetName val="2014 - 2015"/>
    </sheetNames>
    <sheetDataSet>
      <sheetData sheetId="0"/>
      <sheetData sheetId="1">
        <row r="9">
          <cell r="H9">
            <v>3101.12</v>
          </cell>
        </row>
        <row r="10">
          <cell r="H10">
            <v>7394.97</v>
          </cell>
        </row>
        <row r="11">
          <cell r="H11">
            <v>7893.32</v>
          </cell>
        </row>
        <row r="12">
          <cell r="H12">
            <v>7893.32</v>
          </cell>
        </row>
        <row r="13">
          <cell r="H13">
            <v>7893.32</v>
          </cell>
        </row>
        <row r="14">
          <cell r="H14">
            <v>7893.32</v>
          </cell>
        </row>
        <row r="15">
          <cell r="H15">
            <v>7893.32</v>
          </cell>
        </row>
        <row r="17">
          <cell r="H17">
            <v>7893.32</v>
          </cell>
        </row>
      </sheetData>
      <sheetData sheetId="2">
        <row r="20">
          <cell r="H20">
            <v>7394.97</v>
          </cell>
        </row>
      </sheetData>
      <sheetData sheetId="3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 - 2019"/>
      <sheetName val="2017 - 2018"/>
      <sheetName val="2016 - 2017"/>
      <sheetName val="2015 - 2016"/>
      <sheetName val="2014 - 2015"/>
    </sheetNames>
    <sheetDataSet>
      <sheetData sheetId="0"/>
      <sheetData sheetId="1">
        <row r="9">
          <cell r="H9">
            <v>3310.1</v>
          </cell>
        </row>
        <row r="10">
          <cell r="H10">
            <v>7893.32</v>
          </cell>
        </row>
      </sheetData>
      <sheetData sheetId="2">
        <row r="21">
          <cell r="H21">
            <v>4583.22</v>
          </cell>
        </row>
      </sheetData>
      <sheetData sheetId="3"/>
      <sheetData sheetId="4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RAN"/>
      <sheetName val="ASC 2017-2018"/>
      <sheetName val="ASC 2016 2017 "/>
      <sheetName val="ASC 2015 2016"/>
      <sheetName val="ASC 2014 2015"/>
    </sheetNames>
    <sheetDataSet>
      <sheetData sheetId="0"/>
      <sheetData sheetId="1">
        <row r="10">
          <cell r="G10">
            <v>95404.800000000003</v>
          </cell>
        </row>
      </sheetData>
      <sheetData sheetId="2">
        <row r="12">
          <cell r="G12">
            <v>95404.800000000003</v>
          </cell>
        </row>
        <row r="13">
          <cell r="G13">
            <v>95404.800000000003</v>
          </cell>
        </row>
        <row r="14">
          <cell r="G14">
            <v>95404.800000000003</v>
          </cell>
        </row>
        <row r="15">
          <cell r="G15">
            <v>95404.800000000003</v>
          </cell>
        </row>
        <row r="16">
          <cell r="G16">
            <v>95404.800000000003</v>
          </cell>
        </row>
        <row r="17">
          <cell r="G17">
            <v>95404.800000000003</v>
          </cell>
        </row>
        <row r="18">
          <cell r="G18">
            <v>95404.800000000003</v>
          </cell>
        </row>
        <row r="20">
          <cell r="G20">
            <v>95404.800000000003</v>
          </cell>
        </row>
      </sheetData>
      <sheetData sheetId="3"/>
      <sheetData sheetId="4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RAN"/>
      <sheetName val="ASC 2018-2019"/>
      <sheetName val="ASC 2017-2018"/>
      <sheetName val="ASC 2016 2017 "/>
      <sheetName val="ASC 2015 2016"/>
      <sheetName val="ASC 2014 2015"/>
    </sheetNames>
    <sheetDataSet>
      <sheetData sheetId="0"/>
      <sheetData sheetId="1">
        <row r="10">
          <cell r="G10">
            <v>130980.76</v>
          </cell>
        </row>
      </sheetData>
      <sheetData sheetId="2">
        <row r="12">
          <cell r="G12">
            <v>95404.800000000003</v>
          </cell>
        </row>
        <row r="13">
          <cell r="G13">
            <v>120545.64</v>
          </cell>
        </row>
      </sheetData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7-2018"/>
    </sheetNames>
    <sheetDataSet>
      <sheetData sheetId="0">
        <row r="7">
          <cell r="H7">
            <v>35429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RTNER 2017"/>
      <sheetName val="GARTNER 2016"/>
      <sheetName val="GARTNER 2015"/>
    </sheetNames>
    <sheetDataSet>
      <sheetData sheetId="0" refreshError="1">
        <row r="7">
          <cell r="H7">
            <v>20458.330000000002</v>
          </cell>
        </row>
        <row r="8">
          <cell r="H8">
            <v>20458.34</v>
          </cell>
        </row>
        <row r="9">
          <cell r="H9">
            <v>24498.829999999998</v>
          </cell>
        </row>
        <row r="10">
          <cell r="H10">
            <v>21805.17</v>
          </cell>
        </row>
        <row r="11">
          <cell r="H11">
            <v>21805.17</v>
          </cell>
        </row>
        <row r="12">
          <cell r="H12">
            <v>21805.17</v>
          </cell>
        </row>
        <row r="13">
          <cell r="H13">
            <v>21805.17</v>
          </cell>
        </row>
        <row r="14">
          <cell r="H14">
            <v>21805.17</v>
          </cell>
        </row>
      </sheetData>
      <sheetData sheetId="1" refreshError="1">
        <row r="21">
          <cell r="H21">
            <v>20458.330000000002</v>
          </cell>
        </row>
      </sheetData>
      <sheetData sheetId="2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PE 2016 - 2018"/>
    </sheetNames>
    <sheetDataSet>
      <sheetData sheetId="0">
        <row r="10">
          <cell r="G10">
            <v>0</v>
          </cell>
        </row>
        <row r="11">
          <cell r="G11">
            <v>628912.76</v>
          </cell>
        </row>
        <row r="16">
          <cell r="G16">
            <v>1048187.94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PE 010.2017"/>
    </sheetNames>
    <sheetDataSet>
      <sheetData sheetId="0">
        <row r="13">
          <cell r="G13">
            <v>200856.6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7 - 2018"/>
    </sheetNames>
    <sheetDataSet>
      <sheetData sheetId="0">
        <row r="6">
          <cell r="H6">
            <v>10225.799999999999</v>
          </cell>
        </row>
        <row r="7">
          <cell r="H7">
            <v>15850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7 - 2018"/>
    </sheetNames>
    <sheetDataSet>
      <sheetData sheetId="0">
        <row r="11">
          <cell r="H11">
            <v>5056.71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7-2018"/>
      <sheetName val="2016 - 2017"/>
    </sheetNames>
    <sheetDataSet>
      <sheetData sheetId="0">
        <row r="11">
          <cell r="H11">
            <v>328541</v>
          </cell>
        </row>
        <row r="12">
          <cell r="H12">
            <v>420932.18</v>
          </cell>
        </row>
      </sheetData>
      <sheetData sheetId="1">
        <row r="15">
          <cell r="H15">
            <v>331498.21000000002</v>
          </cell>
        </row>
        <row r="16">
          <cell r="H16">
            <v>362376.68</v>
          </cell>
        </row>
        <row r="17">
          <cell r="H17">
            <v>385326.78</v>
          </cell>
        </row>
        <row r="18">
          <cell r="H18">
            <v>390820.31</v>
          </cell>
        </row>
        <row r="19">
          <cell r="H19">
            <v>388709.44</v>
          </cell>
        </row>
        <row r="20">
          <cell r="H20">
            <v>392284.85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-2019"/>
      <sheetName val="2017-2018"/>
      <sheetName val="2016 - 2017"/>
    </sheetNames>
    <sheetDataSet>
      <sheetData sheetId="0">
        <row r="11">
          <cell r="H11">
            <v>328465.06</v>
          </cell>
        </row>
      </sheetData>
      <sheetData sheetId="1">
        <row r="16">
          <cell r="H16">
            <v>424747.36</v>
          </cell>
        </row>
        <row r="17">
          <cell r="H17">
            <v>424747.36</v>
          </cell>
        </row>
      </sheetData>
      <sheetData sheetId="2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R 2017-2018"/>
    </sheetNames>
    <sheetDataSet>
      <sheetData sheetId="0">
        <row r="12">
          <cell r="H12">
            <v>37333.360000000001</v>
          </cell>
        </row>
        <row r="13">
          <cell r="H13">
            <v>40000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 Estrelas 2017-2018"/>
    </sheetNames>
    <sheetDataSet>
      <sheetData sheetId="0">
        <row r="12">
          <cell r="H12">
            <v>8503.4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7-2018"/>
      <sheetName val="2016-2017"/>
    </sheetNames>
    <sheetDataSet>
      <sheetData sheetId="0">
        <row r="11">
          <cell r="H11">
            <v>20036.11</v>
          </cell>
        </row>
        <row r="13">
          <cell r="H13">
            <v>18429.599999999999</v>
          </cell>
        </row>
      </sheetData>
      <sheetData sheetId="1">
        <row r="17">
          <cell r="H17">
            <v>17083.3</v>
          </cell>
        </row>
        <row r="18">
          <cell r="H18">
            <v>17083.3</v>
          </cell>
        </row>
        <row r="19">
          <cell r="H19">
            <v>17083.3</v>
          </cell>
        </row>
        <row r="20">
          <cell r="H20">
            <v>17083.3</v>
          </cell>
        </row>
        <row r="21">
          <cell r="H21">
            <v>16513.86</v>
          </cell>
        </row>
        <row r="22">
          <cell r="H22">
            <v>17083.3</v>
          </cell>
        </row>
        <row r="23">
          <cell r="H23">
            <v>5124.99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B 2017-2018"/>
    </sheetNames>
    <sheetDataSet>
      <sheetData sheetId="0" refreshError="1">
        <row r="9">
          <cell r="H9">
            <v>467516.39</v>
          </cell>
        </row>
        <row r="36">
          <cell r="G36">
            <v>38682.199999999997</v>
          </cell>
        </row>
        <row r="37">
          <cell r="G37">
            <v>38680.199999999997</v>
          </cell>
        </row>
        <row r="38">
          <cell r="G38">
            <v>115854.21</v>
          </cell>
        </row>
        <row r="39">
          <cell r="G39">
            <v>13670.03</v>
          </cell>
        </row>
        <row r="40">
          <cell r="G40">
            <v>21253.97</v>
          </cell>
        </row>
        <row r="41">
          <cell r="G41">
            <v>14877</v>
          </cell>
        </row>
        <row r="42">
          <cell r="G42">
            <v>25406.44</v>
          </cell>
        </row>
        <row r="43">
          <cell r="G43">
            <v>30822.75</v>
          </cell>
        </row>
        <row r="44">
          <cell r="G44">
            <v>7622.2</v>
          </cell>
        </row>
        <row r="45">
          <cell r="G45">
            <v>96908.55</v>
          </cell>
        </row>
        <row r="47">
          <cell r="G47">
            <v>7622.2</v>
          </cell>
        </row>
        <row r="50">
          <cell r="G50">
            <v>12585.56</v>
          </cell>
        </row>
        <row r="51">
          <cell r="G51">
            <v>26742.48</v>
          </cell>
        </row>
        <row r="52">
          <cell r="G52">
            <v>12196.1</v>
          </cell>
        </row>
        <row r="53">
          <cell r="G53">
            <v>12196.1</v>
          </cell>
        </row>
        <row r="54">
          <cell r="G54">
            <v>20135.34</v>
          </cell>
        </row>
        <row r="55">
          <cell r="G55">
            <v>26742.48</v>
          </cell>
        </row>
        <row r="56">
          <cell r="G56">
            <v>16879.13</v>
          </cell>
        </row>
        <row r="57">
          <cell r="G57">
            <v>22783.38</v>
          </cell>
        </row>
        <row r="58">
          <cell r="G58">
            <v>26742.48</v>
          </cell>
        </row>
        <row r="59">
          <cell r="G59">
            <v>12196.1</v>
          </cell>
        </row>
        <row r="60">
          <cell r="G60">
            <v>20135.34</v>
          </cell>
        </row>
        <row r="61">
          <cell r="G61">
            <v>40144.720000000001</v>
          </cell>
        </row>
        <row r="62">
          <cell r="G62">
            <v>193090.35</v>
          </cell>
        </row>
        <row r="63">
          <cell r="G63">
            <v>117042.09</v>
          </cell>
        </row>
        <row r="64">
          <cell r="G64">
            <v>51371.25</v>
          </cell>
        </row>
        <row r="65">
          <cell r="G65">
            <v>56940.15</v>
          </cell>
        </row>
        <row r="66">
          <cell r="G66">
            <v>32276.25</v>
          </cell>
        </row>
        <row r="67">
          <cell r="G67">
            <v>63516.1</v>
          </cell>
        </row>
        <row r="68">
          <cell r="G68">
            <v>64470.33</v>
          </cell>
        </row>
        <row r="69">
          <cell r="G69">
            <v>55348.33</v>
          </cell>
        </row>
        <row r="70">
          <cell r="G70">
            <v>5953.34</v>
          </cell>
        </row>
        <row r="71">
          <cell r="G71">
            <v>14877</v>
          </cell>
        </row>
        <row r="72">
          <cell r="G72">
            <v>40144.720000000001</v>
          </cell>
        </row>
        <row r="73">
          <cell r="G73">
            <v>43780.45</v>
          </cell>
        </row>
        <row r="74">
          <cell r="G74">
            <v>51371.25</v>
          </cell>
        </row>
        <row r="75">
          <cell r="G75">
            <v>49386.43</v>
          </cell>
        </row>
        <row r="76">
          <cell r="G76">
            <v>35495.199999999997</v>
          </cell>
        </row>
        <row r="77">
          <cell r="G77">
            <v>32276.25</v>
          </cell>
        </row>
        <row r="78">
          <cell r="G78">
            <v>35594.71</v>
          </cell>
        </row>
        <row r="79">
          <cell r="G79">
            <v>22783.38</v>
          </cell>
        </row>
        <row r="80">
          <cell r="G80">
            <v>12196.1</v>
          </cell>
        </row>
        <row r="81">
          <cell r="G81">
            <v>26742.48</v>
          </cell>
        </row>
        <row r="82">
          <cell r="G82">
            <v>26742.48</v>
          </cell>
        </row>
        <row r="83">
          <cell r="G83">
            <v>12196.1</v>
          </cell>
        </row>
        <row r="85">
          <cell r="G85">
            <v>87972.28</v>
          </cell>
        </row>
        <row r="86">
          <cell r="G86">
            <v>4618.1899999999996</v>
          </cell>
        </row>
        <row r="87">
          <cell r="G87">
            <v>16627.47</v>
          </cell>
        </row>
        <row r="88">
          <cell r="G88">
            <v>16627.47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-2019"/>
      <sheetName val="2017-2018"/>
      <sheetName val="2016-2017"/>
    </sheetNames>
    <sheetDataSet>
      <sheetData sheetId="0">
        <row r="7">
          <cell r="H7">
            <v>18878.099999999999</v>
          </cell>
        </row>
      </sheetData>
      <sheetData sheetId="1">
        <row r="14">
          <cell r="H14">
            <v>18429.599999999999</v>
          </cell>
        </row>
        <row r="17">
          <cell r="H17">
            <v>18878.099999999999</v>
          </cell>
        </row>
        <row r="18">
          <cell r="H18">
            <v>18878.099999999999</v>
          </cell>
        </row>
      </sheetData>
      <sheetData sheetId="2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PRO CPF-CNPF 2017-2018"/>
      <sheetName val="SERPRO CPF-CNPF 2016-2017"/>
      <sheetName val="SERPRO CPF-CNPF 2015-2016"/>
      <sheetName val="SERPRO CPF-CNPF 2014-2015"/>
    </sheetNames>
    <sheetDataSet>
      <sheetData sheetId="0">
        <row r="13">
          <cell r="H13">
            <v>544.22</v>
          </cell>
        </row>
      </sheetData>
      <sheetData sheetId="1">
        <row r="16">
          <cell r="H16">
            <v>500</v>
          </cell>
        </row>
      </sheetData>
      <sheetData sheetId="2"/>
      <sheetData sheetId="3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VIA 2017 2018"/>
      <sheetName val="INFOVIA 2016 2017"/>
      <sheetName val="INFOVIA 2015 2016"/>
      <sheetName val="INFOVIA 2014 2015"/>
    </sheetNames>
    <sheetDataSet>
      <sheetData sheetId="0">
        <row r="10">
          <cell r="H10">
            <v>38809.089999999997</v>
          </cell>
        </row>
      </sheetData>
      <sheetData sheetId="1">
        <row r="11">
          <cell r="H11">
            <v>34800</v>
          </cell>
        </row>
        <row r="12">
          <cell r="H12">
            <v>34800</v>
          </cell>
        </row>
        <row r="13">
          <cell r="H13">
            <v>34800</v>
          </cell>
        </row>
        <row r="14">
          <cell r="H14">
            <v>34800</v>
          </cell>
        </row>
        <row r="16">
          <cell r="H16">
            <v>34800</v>
          </cell>
        </row>
        <row r="17">
          <cell r="H17">
            <v>34800</v>
          </cell>
        </row>
        <row r="18">
          <cell r="H18">
            <v>34800</v>
          </cell>
        </row>
        <row r="19">
          <cell r="H19">
            <v>82914.880000000005</v>
          </cell>
        </row>
        <row r="20">
          <cell r="H20">
            <v>0</v>
          </cell>
        </row>
        <row r="23">
          <cell r="H23">
            <v>2648.35</v>
          </cell>
        </row>
      </sheetData>
      <sheetData sheetId="2"/>
      <sheetData sheetId="3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VIA 2018 2019"/>
      <sheetName val="INFOVIA 2017 2018"/>
      <sheetName val="INFOVIA 2016 2017"/>
      <sheetName val="INFOVIA 2015 2016"/>
      <sheetName val="INFOVIA 2014 2015"/>
    </sheetNames>
    <sheetDataSet>
      <sheetData sheetId="0">
        <row r="12">
          <cell r="H12">
            <v>29775.200000000001</v>
          </cell>
        </row>
      </sheetData>
      <sheetData sheetId="1">
        <row r="14">
          <cell r="H14">
            <v>32375.200000000001</v>
          </cell>
        </row>
        <row r="15">
          <cell r="H15">
            <v>29775.200000000001</v>
          </cell>
        </row>
      </sheetData>
      <sheetData sheetId="2"/>
      <sheetData sheetId="3"/>
      <sheetData sheetId="4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RO 2016 2017"/>
      <sheetName val="CLARO 2015 2016"/>
      <sheetName val="EMBRATEL 2014 2015 - INCORPORAÇ"/>
    </sheetNames>
    <sheetDataSet>
      <sheetData sheetId="0">
        <row r="8">
          <cell r="H8">
            <v>14393.880000000001</v>
          </cell>
        </row>
        <row r="9">
          <cell r="H9">
            <v>14770.39</v>
          </cell>
        </row>
        <row r="10">
          <cell r="H10">
            <v>15830.05</v>
          </cell>
        </row>
        <row r="11">
          <cell r="H11">
            <v>15128.01</v>
          </cell>
        </row>
        <row r="12">
          <cell r="H12">
            <v>15009.41</v>
          </cell>
        </row>
        <row r="13">
          <cell r="H13">
            <v>14791.349999999999</v>
          </cell>
        </row>
        <row r="14">
          <cell r="H14">
            <v>15841.43</v>
          </cell>
        </row>
        <row r="16">
          <cell r="H16">
            <v>14903.41</v>
          </cell>
        </row>
      </sheetData>
      <sheetData sheetId="1">
        <row r="19">
          <cell r="H19">
            <v>13420.46</v>
          </cell>
        </row>
      </sheetData>
      <sheetData sheetId="2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RO 2016 2017"/>
      <sheetName val="CLARO 2015 2016"/>
      <sheetName val="EMBRATEL 2014 2015 - INCORPORAÇ"/>
    </sheetNames>
    <sheetDataSet>
      <sheetData sheetId="0" refreshError="1">
        <row r="20">
          <cell r="H20">
            <v>27007.24</v>
          </cell>
        </row>
      </sheetData>
      <sheetData sheetId="1" refreshError="1"/>
      <sheetData sheetId="2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7"/>
      <sheetName val="2016"/>
      <sheetName val="2015"/>
      <sheetName val="2014"/>
    </sheetNames>
    <sheetDataSet>
      <sheetData sheetId="0">
        <row r="9">
          <cell r="H9">
            <v>8835.68</v>
          </cell>
        </row>
        <row r="11">
          <cell r="H11">
            <v>15717</v>
          </cell>
        </row>
        <row r="12">
          <cell r="H12">
            <v>10717.75</v>
          </cell>
        </row>
        <row r="13">
          <cell r="H13">
            <v>10987.53</v>
          </cell>
        </row>
        <row r="16">
          <cell r="H16">
            <v>10214.130000000001</v>
          </cell>
        </row>
      </sheetData>
      <sheetData sheetId="1">
        <row r="18">
          <cell r="H18">
            <v>7829.34</v>
          </cell>
        </row>
        <row r="19">
          <cell r="H19">
            <v>9635.7200000000012</v>
          </cell>
        </row>
        <row r="20">
          <cell r="H20">
            <v>8912.58</v>
          </cell>
        </row>
      </sheetData>
      <sheetData sheetId="2"/>
      <sheetData sheetId="3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"/>
      <sheetName val="2017"/>
      <sheetName val="2016"/>
      <sheetName val="2015"/>
      <sheetName val="2014"/>
    </sheetNames>
    <sheetDataSet>
      <sheetData sheetId="0">
        <row r="9">
          <cell r="H9">
            <v>15876.99</v>
          </cell>
        </row>
      </sheetData>
      <sheetData sheetId="1">
        <row r="9">
          <cell r="H9">
            <v>8835.68</v>
          </cell>
        </row>
        <row r="20">
          <cell r="H20">
            <v>16758.330000000002</v>
          </cell>
        </row>
      </sheetData>
      <sheetData sheetId="2">
        <row r="9">
          <cell r="H9">
            <v>12578.75</v>
          </cell>
        </row>
      </sheetData>
      <sheetData sheetId="3">
        <row r="9">
          <cell r="H9">
            <v>21867.5</v>
          </cell>
        </row>
      </sheetData>
      <sheetData sheetId="4">
        <row r="9">
          <cell r="H9">
            <v>22026.940000000002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7"/>
      <sheetName val="2016"/>
      <sheetName val="2015"/>
      <sheetName val="2014"/>
    </sheetNames>
    <sheetDataSet>
      <sheetData sheetId="0">
        <row r="10">
          <cell r="H10">
            <v>1317.23</v>
          </cell>
        </row>
        <row r="11">
          <cell r="H11">
            <v>1565.39</v>
          </cell>
        </row>
        <row r="12">
          <cell r="H12">
            <v>1735.26</v>
          </cell>
        </row>
        <row r="14">
          <cell r="H14">
            <v>1435.38</v>
          </cell>
        </row>
        <row r="15">
          <cell r="H15">
            <v>1362.97</v>
          </cell>
        </row>
        <row r="17">
          <cell r="H17">
            <v>1941.52</v>
          </cell>
        </row>
      </sheetData>
      <sheetData sheetId="1">
        <row r="10">
          <cell r="H10">
            <v>2592.39</v>
          </cell>
        </row>
        <row r="21">
          <cell r="H21">
            <v>2367.6</v>
          </cell>
        </row>
      </sheetData>
      <sheetData sheetId="2">
        <row r="10">
          <cell r="H10">
            <v>12362.85</v>
          </cell>
        </row>
      </sheetData>
      <sheetData sheetId="3">
        <row r="22">
          <cell r="E22">
            <v>188246.8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"/>
      <sheetName val="2017"/>
      <sheetName val="2016"/>
      <sheetName val="2015"/>
      <sheetName val="2014"/>
    </sheetNames>
    <sheetDataSet>
      <sheetData sheetId="0">
        <row r="10">
          <cell r="H10">
            <v>1712.11</v>
          </cell>
        </row>
      </sheetData>
      <sheetData sheetId="1">
        <row r="21">
          <cell r="H21">
            <v>1521.99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7 a 2018"/>
      <sheetName val="2016 a 2017"/>
      <sheetName val="2015 a 2016"/>
      <sheetName val="2014 a 2015"/>
      <sheetName val="2013 a 2014"/>
    </sheetNames>
    <sheetDataSet>
      <sheetData sheetId="0"/>
      <sheetData sheetId="1">
        <row r="9">
          <cell r="H9">
            <v>24673.87</v>
          </cell>
        </row>
        <row r="17">
          <cell r="H17">
            <v>12003.07</v>
          </cell>
        </row>
      </sheetData>
      <sheetData sheetId="2"/>
      <sheetData sheetId="3"/>
      <sheetData sheetId="4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7"/>
      <sheetName val="2016"/>
      <sheetName val="2015"/>
      <sheetName val="2014"/>
    </sheetNames>
    <sheetDataSet>
      <sheetData sheetId="0">
        <row r="6">
          <cell r="H6">
            <v>152808.89000000001</v>
          </cell>
          <cell r="I6">
            <v>37720.589999999997</v>
          </cell>
        </row>
        <row r="13">
          <cell r="H13">
            <v>163796.93</v>
          </cell>
          <cell r="I13">
            <v>38251.660000000003</v>
          </cell>
        </row>
        <row r="14">
          <cell r="J14">
            <v>9320.52</v>
          </cell>
        </row>
      </sheetData>
      <sheetData sheetId="1">
        <row r="16">
          <cell r="H16">
            <v>152808.89000000001</v>
          </cell>
        </row>
        <row r="17">
          <cell r="H17">
            <v>152808.89000000001</v>
          </cell>
          <cell r="I17">
            <v>37439.29</v>
          </cell>
        </row>
      </sheetData>
      <sheetData sheetId="2"/>
      <sheetData sheetId="3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B 2017 - 2018"/>
      <sheetName val="CEB 2016 - 2017"/>
    </sheetNames>
    <sheetDataSet>
      <sheetData sheetId="0">
        <row r="16">
          <cell r="H16">
            <v>20095.79</v>
          </cell>
        </row>
      </sheetData>
      <sheetData sheetId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7 A 2018"/>
      <sheetName val="2016 A 2017"/>
      <sheetName val="2015 A 2016"/>
      <sheetName val="2014 A 2015"/>
      <sheetName val="2013 A 2014"/>
    </sheetNames>
    <sheetDataSet>
      <sheetData sheetId="0">
        <row r="11">
          <cell r="H11">
            <v>0</v>
          </cell>
        </row>
        <row r="18">
          <cell r="H18">
            <v>53080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7 A 2018"/>
      <sheetName val="2016 A 2017"/>
      <sheetName val="2015 A 2016"/>
      <sheetName val="2014 A 2015"/>
      <sheetName val="2013 A 2014"/>
    </sheetNames>
    <sheetDataSet>
      <sheetData sheetId="0">
        <row r="21">
          <cell r="H21">
            <v>32459.200000000001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6 - 2017"/>
    </sheetNames>
    <sheetDataSet>
      <sheetData sheetId="0">
        <row r="9">
          <cell r="H9">
            <v>13739.42</v>
          </cell>
        </row>
        <row r="12">
          <cell r="H12">
            <v>6255.53</v>
          </cell>
        </row>
        <row r="13">
          <cell r="H13">
            <v>13941.13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7 - 2018"/>
    </sheetNames>
    <sheetDataSet>
      <sheetData sheetId="0">
        <row r="10">
          <cell r="H10">
            <v>795.24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 - 2019"/>
      <sheetName val="2017 - 2018"/>
    </sheetNames>
    <sheetDataSet>
      <sheetData sheetId="0">
        <row r="9">
          <cell r="H9">
            <v>812.16</v>
          </cell>
        </row>
      </sheetData>
      <sheetData sheetId="1">
        <row r="8">
          <cell r="E8">
            <v>14619</v>
          </cell>
        </row>
        <row r="14">
          <cell r="H14">
            <v>710.64</v>
          </cell>
        </row>
      </sheetData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YSMA 2017-2018"/>
    </sheetNames>
    <sheetDataSet>
      <sheetData sheetId="0">
        <row r="12">
          <cell r="G12">
            <v>1875</v>
          </cell>
        </row>
        <row r="13">
          <cell r="G13">
            <v>54375</v>
          </cell>
        </row>
        <row r="14">
          <cell r="G14">
            <v>1875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7 - 2018"/>
      <sheetName val="2016 - 2017"/>
    </sheetNames>
    <sheetDataSet>
      <sheetData sheetId="0">
        <row r="11">
          <cell r="G11">
            <v>0</v>
          </cell>
        </row>
      </sheetData>
      <sheetData sheetId="1">
        <row r="11">
          <cell r="G11">
            <v>17691.2</v>
          </cell>
        </row>
        <row r="12">
          <cell r="G12">
            <v>19877.810000000001</v>
          </cell>
        </row>
        <row r="17">
          <cell r="G17">
            <v>3744.83</v>
          </cell>
        </row>
        <row r="18">
          <cell r="G18">
            <v>4658.51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7-2018"/>
      <sheetName val="2016-2017"/>
    </sheetNames>
    <sheetDataSet>
      <sheetData sheetId="0"/>
      <sheetData sheetId="1">
        <row r="6">
          <cell r="H6">
            <v>2190</v>
          </cell>
        </row>
        <row r="7">
          <cell r="H7">
            <v>1548.5</v>
          </cell>
        </row>
        <row r="8">
          <cell r="H8">
            <v>17779.669999999998</v>
          </cell>
        </row>
        <row r="9">
          <cell r="H9">
            <v>5635.67</v>
          </cell>
        </row>
        <row r="10">
          <cell r="H10">
            <v>5686.9</v>
          </cell>
        </row>
        <row r="11">
          <cell r="H11">
            <v>16661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7 a 2018"/>
      <sheetName val="2016 a 2017"/>
      <sheetName val="2015 a 2016"/>
      <sheetName val="2014 a 2015"/>
      <sheetName val="2013 a 2014"/>
    </sheetNames>
    <sheetDataSet>
      <sheetData sheetId="0">
        <row r="9">
          <cell r="H9">
            <v>9480.33</v>
          </cell>
        </row>
        <row r="10">
          <cell r="H10">
            <v>7939.45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TSAFE 2017 - 2018"/>
      <sheetName val="NETSAFE 2016 - 2017"/>
      <sheetName val="NETSAFE 2015 - 2016"/>
    </sheetNames>
    <sheetDataSet>
      <sheetData sheetId="0">
        <row r="7">
          <cell r="H7">
            <v>333000</v>
          </cell>
        </row>
      </sheetData>
      <sheetData sheetId="1"/>
      <sheetData sheetId="2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TRONORTE 2017 - 2018"/>
      <sheetName val="PETRONORTE 2016 - 2017"/>
    </sheetNames>
    <sheetDataSet>
      <sheetData sheetId="0"/>
      <sheetData sheetId="1">
        <row r="8">
          <cell r="G8">
            <v>7153.27</v>
          </cell>
        </row>
        <row r="9">
          <cell r="G9">
            <v>8872.9699999999993</v>
          </cell>
        </row>
        <row r="10">
          <cell r="G10">
            <v>7822.58</v>
          </cell>
        </row>
        <row r="11">
          <cell r="G11">
            <v>6876.99</v>
          </cell>
        </row>
        <row r="12">
          <cell r="G12">
            <v>5028.3</v>
          </cell>
        </row>
        <row r="13">
          <cell r="G13">
            <v>2330.21</v>
          </cell>
        </row>
        <row r="15">
          <cell r="G15">
            <v>3387.05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TRONORTE 2017 - 2018"/>
      <sheetName val="PETRONORTE 2016 - 2017"/>
    </sheetNames>
    <sheetDataSet>
      <sheetData sheetId="0"/>
      <sheetData sheetId="1">
        <row r="19">
          <cell r="G19">
            <v>3497.64</v>
          </cell>
        </row>
      </sheetData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7-2018"/>
      <sheetName val="2016-2017"/>
      <sheetName val="2015-2016"/>
      <sheetName val="2014-2015"/>
    </sheetNames>
    <sheetDataSet>
      <sheetData sheetId="0">
        <row r="12">
          <cell r="H12">
            <v>15839.39</v>
          </cell>
        </row>
      </sheetData>
      <sheetData sheetId="1">
        <row r="13">
          <cell r="H13">
            <v>0</v>
          </cell>
        </row>
        <row r="16">
          <cell r="H16">
            <v>4525.41</v>
          </cell>
        </row>
        <row r="17">
          <cell r="H17">
            <v>4609.96</v>
          </cell>
        </row>
        <row r="19">
          <cell r="H19">
            <v>9396.66</v>
          </cell>
        </row>
      </sheetData>
      <sheetData sheetId="2"/>
      <sheetData sheetId="3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X 2017 - 2018"/>
    </sheetNames>
    <sheetDataSet>
      <sheetData sheetId="0">
        <row r="7">
          <cell r="H7">
            <v>0</v>
          </cell>
        </row>
        <row r="8">
          <cell r="H8">
            <v>9800</v>
          </cell>
        </row>
        <row r="9">
          <cell r="H9">
            <v>8600</v>
          </cell>
        </row>
        <row r="10">
          <cell r="H10">
            <v>7050</v>
          </cell>
        </row>
        <row r="11">
          <cell r="H11">
            <v>1800</v>
          </cell>
        </row>
        <row r="12">
          <cell r="H12">
            <v>9000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X 2018 - 2019"/>
      <sheetName val="CTX 2017 - 2018"/>
    </sheetNames>
    <sheetDataSet>
      <sheetData sheetId="0">
        <row r="8">
          <cell r="H8">
            <v>11250</v>
          </cell>
        </row>
      </sheetData>
      <sheetData sheetId="1">
        <row r="18">
          <cell r="H18">
            <v>4750</v>
          </cell>
        </row>
        <row r="19">
          <cell r="H19">
            <v>13250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VG 2016 - 2017"/>
    </sheetNames>
    <sheetDataSet>
      <sheetData sheetId="0">
        <row r="13">
          <cell r="G13">
            <v>371800</v>
          </cell>
        </row>
      </sheetData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7 - 2018"/>
      <sheetName val="2016 - 2017"/>
    </sheetNames>
    <sheetDataSet>
      <sheetData sheetId="0">
        <row r="9">
          <cell r="H9">
            <v>480236.18999999994</v>
          </cell>
        </row>
      </sheetData>
      <sheetData sheetId="1">
        <row r="9">
          <cell r="H9">
            <v>47373.14</v>
          </cell>
        </row>
        <row r="10">
          <cell r="H10">
            <v>267201.93</v>
          </cell>
        </row>
        <row r="11">
          <cell r="H11">
            <v>527906.32999999996</v>
          </cell>
        </row>
        <row r="12">
          <cell r="H12">
            <v>408901.22000000003</v>
          </cell>
        </row>
        <row r="13">
          <cell r="H13">
            <v>337957.4</v>
          </cell>
        </row>
        <row r="16">
          <cell r="H16">
            <v>412349.17</v>
          </cell>
        </row>
        <row r="17">
          <cell r="H17">
            <v>334379.06</v>
          </cell>
        </row>
      </sheetData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 - 2019"/>
      <sheetName val="2017 - 2018"/>
      <sheetName val="2016 - 2017"/>
    </sheetNames>
    <sheetDataSet>
      <sheetData sheetId="0">
        <row r="9">
          <cell r="E9">
            <v>5221352.8899999997</v>
          </cell>
        </row>
      </sheetData>
      <sheetData sheetId="1">
        <row r="10">
          <cell r="H10">
            <v>590990.82999999996</v>
          </cell>
        </row>
        <row r="11">
          <cell r="H11">
            <v>354269.99</v>
          </cell>
        </row>
      </sheetData>
      <sheetData sheetId="2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RCELOS EVENTOS"/>
    </sheetNames>
    <sheetDataSet>
      <sheetData sheetId="0" refreshError="1">
        <row r="10">
          <cell r="H10">
            <v>32087.25</v>
          </cell>
        </row>
        <row r="11">
          <cell r="H11">
            <v>13197.5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LLUS 2017 - 2018"/>
      <sheetName val="TELLUS 2016 - 2017"/>
      <sheetName val="TELLUS 2015 - 2016"/>
      <sheetName val="TELLUS 2014 - 2015"/>
    </sheetNames>
    <sheetDataSet>
      <sheetData sheetId="0"/>
      <sheetData sheetId="1">
        <row r="7">
          <cell r="H7">
            <v>336530.62</v>
          </cell>
        </row>
        <row r="15">
          <cell r="H15">
            <v>571953.31999999995</v>
          </cell>
        </row>
      </sheetData>
      <sheetData sheetId="2"/>
      <sheetData sheetId="3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OETUR 2017-2018"/>
      <sheetName val="Empenhos VOETUR"/>
      <sheetName val="Pagamentos VOETUR"/>
    </sheetNames>
    <sheetDataSet>
      <sheetData sheetId="0">
        <row r="9">
          <cell r="H9">
            <v>18225.12</v>
          </cell>
        </row>
      </sheetData>
      <sheetData sheetId="1"/>
      <sheetData sheetId="2">
        <row r="7">
          <cell r="D7">
            <v>18225.12</v>
          </cell>
        </row>
        <row r="8">
          <cell r="D8">
            <v>0</v>
          </cell>
        </row>
        <row r="9">
          <cell r="D9">
            <v>0</v>
          </cell>
        </row>
        <row r="10">
          <cell r="D10">
            <v>13331.65</v>
          </cell>
        </row>
        <row r="11">
          <cell r="D11">
            <v>884.04</v>
          </cell>
        </row>
        <row r="12">
          <cell r="D12">
            <v>87.05</v>
          </cell>
        </row>
        <row r="13">
          <cell r="D13">
            <v>10106.540000000001</v>
          </cell>
        </row>
        <row r="14">
          <cell r="D14">
            <v>10106.540000000001</v>
          </cell>
        </row>
        <row r="15">
          <cell r="D15">
            <v>1906.22</v>
          </cell>
        </row>
      </sheetData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B 2019-2020"/>
      <sheetName val="FSB 2018-2019"/>
      <sheetName val="FSB 2017-2018"/>
      <sheetName val="FSB 2018 - PAGAMENTOS"/>
    </sheetNames>
    <sheetDataSet>
      <sheetData sheetId="0">
        <row r="8">
          <cell r="H8">
            <v>397941.25000000006</v>
          </cell>
        </row>
        <row r="11">
          <cell r="O11">
            <v>2964.73</v>
          </cell>
        </row>
        <row r="12">
          <cell r="O12">
            <v>39732.44</v>
          </cell>
        </row>
        <row r="13">
          <cell r="O13">
            <v>45030.59</v>
          </cell>
        </row>
        <row r="60">
          <cell r="G60">
            <v>76905.259999999995</v>
          </cell>
        </row>
        <row r="66">
          <cell r="G66">
            <v>6616.5</v>
          </cell>
        </row>
        <row r="67">
          <cell r="G67">
            <v>63554.84</v>
          </cell>
        </row>
        <row r="68">
          <cell r="G68">
            <v>190348.46</v>
          </cell>
        </row>
        <row r="69">
          <cell r="G69">
            <v>51358.17</v>
          </cell>
        </row>
        <row r="70">
          <cell r="G70">
            <v>19554.32</v>
          </cell>
        </row>
        <row r="71">
          <cell r="G71">
            <v>36574.660000000003</v>
          </cell>
        </row>
        <row r="72">
          <cell r="G72">
            <v>52802.400000000001</v>
          </cell>
        </row>
        <row r="73">
          <cell r="G73">
            <v>31817.919999999998</v>
          </cell>
        </row>
        <row r="74">
          <cell r="G74">
            <v>50549.06</v>
          </cell>
        </row>
        <row r="75">
          <cell r="G75">
            <v>79709.91</v>
          </cell>
        </row>
        <row r="76">
          <cell r="G76">
            <v>38673.18</v>
          </cell>
        </row>
        <row r="77">
          <cell r="G77">
            <v>37568.49</v>
          </cell>
        </row>
        <row r="78">
          <cell r="G78">
            <v>40199.69</v>
          </cell>
        </row>
        <row r="79">
          <cell r="G79">
            <v>26763.599999999999</v>
          </cell>
        </row>
      </sheetData>
      <sheetData sheetId="1">
        <row r="19">
          <cell r="H19">
            <v>752554.11</v>
          </cell>
        </row>
        <row r="27">
          <cell r="O27">
            <v>9698.89</v>
          </cell>
        </row>
        <row r="28">
          <cell r="O28">
            <v>55497.47</v>
          </cell>
        </row>
        <row r="29">
          <cell r="O29">
            <v>13897.73</v>
          </cell>
        </row>
      </sheetData>
      <sheetData sheetId="2"/>
      <sheetData sheetId="3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9 - 2020"/>
      <sheetName val="2018 - 2019"/>
    </sheetNames>
    <sheetDataSet>
      <sheetData sheetId="0">
        <row r="7">
          <cell r="H7">
            <v>91541.48000000001</v>
          </cell>
        </row>
      </sheetData>
      <sheetData sheetId="1">
        <row r="8">
          <cell r="H8"/>
        </row>
        <row r="27">
          <cell r="C27">
            <v>9106.2999999999993</v>
          </cell>
        </row>
        <row r="29">
          <cell r="C29">
            <v>19496.300000000003</v>
          </cell>
        </row>
        <row r="30">
          <cell r="C30">
            <v>8187.9800000000005</v>
          </cell>
        </row>
        <row r="31">
          <cell r="C31">
            <v>7410.03</v>
          </cell>
        </row>
        <row r="33">
          <cell r="C33">
            <v>8964.2800000000007</v>
          </cell>
        </row>
        <row r="34">
          <cell r="C34">
            <v>1390.52</v>
          </cell>
        </row>
        <row r="35">
          <cell r="C35">
            <v>104.63</v>
          </cell>
        </row>
        <row r="36">
          <cell r="C36">
            <v>8272.7200000000012</v>
          </cell>
        </row>
        <row r="38">
          <cell r="C38">
            <v>268.02999999999997</v>
          </cell>
        </row>
        <row r="39">
          <cell r="C39">
            <v>85.5</v>
          </cell>
        </row>
        <row r="40">
          <cell r="C40">
            <v>11430.21</v>
          </cell>
        </row>
        <row r="41">
          <cell r="C41">
            <v>607.12</v>
          </cell>
        </row>
        <row r="43">
          <cell r="C43">
            <v>6768.1399999999994</v>
          </cell>
        </row>
        <row r="44">
          <cell r="C44">
            <v>49.23</v>
          </cell>
        </row>
        <row r="45">
          <cell r="C45">
            <v>532.61</v>
          </cell>
        </row>
        <row r="46">
          <cell r="C46">
            <v>2457.4899999999998</v>
          </cell>
        </row>
        <row r="47">
          <cell r="C47">
            <v>73657.73000000001</v>
          </cell>
        </row>
        <row r="49">
          <cell r="C49">
            <v>191.99</v>
          </cell>
        </row>
        <row r="50">
          <cell r="C50">
            <v>13776.18</v>
          </cell>
        </row>
        <row r="51">
          <cell r="C51">
            <v>501.97</v>
          </cell>
        </row>
        <row r="52">
          <cell r="C52">
            <v>44369.74</v>
          </cell>
        </row>
        <row r="53">
          <cell r="C53">
            <v>7764.58</v>
          </cell>
        </row>
        <row r="62">
          <cell r="C62"/>
        </row>
        <row r="64">
          <cell r="C64">
            <v>92.75</v>
          </cell>
        </row>
        <row r="65">
          <cell r="C65"/>
        </row>
        <row r="66">
          <cell r="C66">
            <v>25803.37</v>
          </cell>
        </row>
        <row r="73">
          <cell r="C73"/>
        </row>
        <row r="74">
          <cell r="C74"/>
        </row>
        <row r="76">
          <cell r="C76">
            <v>32801.99</v>
          </cell>
        </row>
        <row r="77">
          <cell r="C77"/>
        </row>
        <row r="86">
          <cell r="C86">
            <v>4898.68</v>
          </cell>
        </row>
        <row r="90">
          <cell r="C90"/>
        </row>
        <row r="91">
          <cell r="C91"/>
        </row>
        <row r="92">
          <cell r="C92">
            <v>94.98</v>
          </cell>
        </row>
        <row r="100">
          <cell r="C100"/>
        </row>
        <row r="101">
          <cell r="C101"/>
        </row>
        <row r="103">
          <cell r="C103">
            <v>4976.91</v>
          </cell>
        </row>
        <row r="112">
          <cell r="C112" t="str">
            <v>VALOR</v>
          </cell>
        </row>
        <row r="113">
          <cell r="C113"/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LLUS 2018 - 2019"/>
      <sheetName val="TELLUS 2017 - 2018"/>
      <sheetName val="TELLUS 2016 - 2017"/>
      <sheetName val="TELLUS 2015 - 2016"/>
      <sheetName val="TELLUS 2014 - 2015"/>
    </sheetNames>
    <sheetDataSet>
      <sheetData sheetId="0"/>
      <sheetData sheetId="1">
        <row r="7">
          <cell r="H7">
            <v>364154.88</v>
          </cell>
        </row>
        <row r="8">
          <cell r="H8">
            <v>393844.32</v>
          </cell>
        </row>
      </sheetData>
      <sheetData sheetId="2">
        <row r="17">
          <cell r="H17">
            <v>390662.02</v>
          </cell>
        </row>
      </sheetData>
      <sheetData sheetId="3">
        <row r="8">
          <cell r="E8">
            <v>6036366.3399999999</v>
          </cell>
        </row>
      </sheetData>
      <sheetData sheetId="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7-2018"/>
      <sheetName val="2016-2017"/>
      <sheetName val="2015-2016"/>
      <sheetName val="2014-2015"/>
    </sheetNames>
    <sheetDataSet>
      <sheetData sheetId="0">
        <row r="9">
          <cell r="H9">
            <v>1684.38</v>
          </cell>
        </row>
      </sheetData>
      <sheetData sheetId="1">
        <row r="17">
          <cell r="H17">
            <v>988.92</v>
          </cell>
        </row>
        <row r="18">
          <cell r="H18">
            <v>1350.72</v>
          </cell>
        </row>
        <row r="19">
          <cell r="H19">
            <v>1214.04</v>
          </cell>
        </row>
        <row r="20">
          <cell r="H20">
            <v>1716.54</v>
          </cell>
        </row>
      </sheetData>
      <sheetData sheetId="2"/>
      <sheetData sheetId="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ecê 2017 - 2018"/>
      <sheetName val="Apecê 2016 - 2017"/>
      <sheetName val="Apecê 2015 - 2016"/>
      <sheetName val="Apecê 2014 - 2015"/>
    </sheetNames>
    <sheetDataSet>
      <sheetData sheetId="0"/>
      <sheetData sheetId="1">
        <row r="10">
          <cell r="H10">
            <v>61461.9</v>
          </cell>
        </row>
        <row r="11">
          <cell r="H11">
            <v>60481.59</v>
          </cell>
        </row>
        <row r="12">
          <cell r="H12">
            <v>60993.71</v>
          </cell>
        </row>
        <row r="13">
          <cell r="H13">
            <v>61042.42</v>
          </cell>
        </row>
        <row r="14">
          <cell r="H14">
            <v>60406.62</v>
          </cell>
        </row>
        <row r="15">
          <cell r="H15">
            <v>61862.1</v>
          </cell>
        </row>
        <row r="16">
          <cell r="H16">
            <v>62010.35</v>
          </cell>
        </row>
        <row r="18">
          <cell r="H18">
            <v>62047.94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W180"/>
  <sheetViews>
    <sheetView topLeftCell="F1" workbookViewId="0">
      <pane ySplit="4" topLeftCell="A5" activePane="bottomLeft" state="frozen"/>
      <selection pane="bottomLeft" activeCell="O13" sqref="O13"/>
    </sheetView>
  </sheetViews>
  <sheetFormatPr defaultColWidth="14.42578125" defaultRowHeight="15.75" customHeight="1" x14ac:dyDescent="0.2"/>
  <cols>
    <col min="1" max="1" width="3.140625" customWidth="1"/>
    <col min="2" max="2" width="11.7109375" style="5" customWidth="1"/>
    <col min="3" max="3" width="8.140625" style="5" customWidth="1"/>
    <col min="4" max="4" width="19.5703125" hidden="1" customWidth="1"/>
    <col min="5" max="5" width="60.140625" customWidth="1"/>
    <col min="6" max="6" width="19" customWidth="1"/>
    <col min="7" max="7" width="21.5703125" customWidth="1"/>
    <col min="8" max="8" width="55.28515625" hidden="1" customWidth="1"/>
    <col min="9" max="9" width="14" style="5" customWidth="1"/>
    <col min="10" max="10" width="15" customWidth="1"/>
    <col min="11" max="11" width="13" customWidth="1"/>
    <col min="12" max="12" width="15" customWidth="1"/>
    <col min="13" max="14" width="13" customWidth="1"/>
    <col min="15" max="15" width="15.5703125" customWidth="1"/>
    <col min="16" max="16" width="14" customWidth="1"/>
    <col min="17" max="18" width="14.42578125" customWidth="1"/>
  </cols>
  <sheetData>
    <row r="3" spans="2:23" ht="15.75" customHeight="1" thickBot="1" x14ac:dyDescent="0.25"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</row>
    <row r="4" spans="2:23" ht="29.25" customHeight="1" x14ac:dyDescent="0.2">
      <c r="B4" s="9" t="s">
        <v>0</v>
      </c>
      <c r="C4" s="10" t="s">
        <v>1</v>
      </c>
      <c r="D4" s="11" t="s">
        <v>2</v>
      </c>
      <c r="E4" s="11" t="s">
        <v>3</v>
      </c>
      <c r="F4" s="11" t="s">
        <v>4</v>
      </c>
      <c r="G4" s="11" t="s">
        <v>5</v>
      </c>
      <c r="H4" s="11" t="s">
        <v>6</v>
      </c>
      <c r="I4" s="12" t="s">
        <v>7</v>
      </c>
      <c r="J4" s="13">
        <v>42736</v>
      </c>
      <c r="K4" s="14">
        <v>42767</v>
      </c>
      <c r="L4" s="13">
        <v>42795</v>
      </c>
      <c r="M4" s="13">
        <v>42826</v>
      </c>
      <c r="N4" s="13">
        <v>42856</v>
      </c>
      <c r="O4" s="13">
        <v>42887</v>
      </c>
      <c r="P4" s="13">
        <v>42917</v>
      </c>
      <c r="Q4" s="13">
        <v>42948</v>
      </c>
      <c r="R4" s="13">
        <v>42979</v>
      </c>
      <c r="S4" s="13">
        <v>43009</v>
      </c>
      <c r="T4" s="13">
        <v>43040</v>
      </c>
      <c r="U4" s="15">
        <v>43070</v>
      </c>
      <c r="V4" s="15">
        <v>43101</v>
      </c>
      <c r="W4" s="15">
        <v>43132</v>
      </c>
    </row>
    <row r="5" spans="2:23" ht="16.5" customHeight="1" x14ac:dyDescent="0.2">
      <c r="B5" s="16"/>
      <c r="C5" s="16"/>
      <c r="D5" s="7"/>
      <c r="E5" s="7"/>
      <c r="F5" s="7"/>
      <c r="G5" s="7"/>
      <c r="H5" s="7"/>
      <c r="I5" s="17"/>
      <c r="J5" s="18"/>
      <c r="K5" s="18"/>
      <c r="L5" s="18"/>
      <c r="M5" s="18"/>
      <c r="N5" s="18"/>
      <c r="O5" s="18"/>
      <c r="P5" s="18"/>
      <c r="Q5" s="18"/>
      <c r="R5" s="18"/>
      <c r="S5" s="18"/>
      <c r="T5" s="19"/>
      <c r="U5" s="19"/>
      <c r="V5" s="24"/>
      <c r="W5" s="24"/>
    </row>
    <row r="6" spans="2:23" ht="36" customHeight="1" x14ac:dyDescent="0.2">
      <c r="B6" s="16" t="s">
        <v>243</v>
      </c>
      <c r="C6" s="16">
        <v>2017</v>
      </c>
      <c r="D6" s="7"/>
      <c r="E6" s="7" t="s">
        <v>297</v>
      </c>
      <c r="F6" s="7" t="s">
        <v>302</v>
      </c>
      <c r="G6" s="7" t="s">
        <v>298</v>
      </c>
      <c r="H6" s="7"/>
      <c r="I6" s="17">
        <v>43042</v>
      </c>
      <c r="J6" s="18"/>
      <c r="K6" s="18"/>
      <c r="L6" s="18"/>
      <c r="M6" s="18"/>
      <c r="N6" s="18"/>
      <c r="O6" s="18"/>
      <c r="P6" s="18" t="s">
        <v>245</v>
      </c>
      <c r="Q6" s="18" t="s">
        <v>245</v>
      </c>
      <c r="R6" s="18" t="s">
        <v>245</v>
      </c>
      <c r="S6" s="18">
        <v>89600</v>
      </c>
      <c r="T6" s="18">
        <v>0</v>
      </c>
      <c r="U6" s="18">
        <v>0</v>
      </c>
      <c r="V6" s="18">
        <v>0</v>
      </c>
      <c r="W6" s="18">
        <v>0</v>
      </c>
    </row>
    <row r="7" spans="2:23" ht="36" customHeight="1" x14ac:dyDescent="0.2">
      <c r="B7" s="16" t="s">
        <v>299</v>
      </c>
      <c r="C7" s="16">
        <v>2017</v>
      </c>
      <c r="D7" s="7"/>
      <c r="E7" s="7" t="s">
        <v>300</v>
      </c>
      <c r="F7" s="7" t="s">
        <v>301</v>
      </c>
      <c r="G7" s="7"/>
      <c r="H7" s="7"/>
      <c r="I7" s="17">
        <v>43096</v>
      </c>
      <c r="J7" s="18"/>
      <c r="K7" s="18"/>
      <c r="L7" s="18"/>
      <c r="M7" s="18"/>
      <c r="N7" s="18"/>
      <c r="O7" s="18"/>
      <c r="P7" s="18" t="s">
        <v>245</v>
      </c>
      <c r="Q7" s="18" t="s">
        <v>245</v>
      </c>
      <c r="R7" s="18" t="s">
        <v>245</v>
      </c>
      <c r="S7" s="18">
        <v>0</v>
      </c>
      <c r="T7" s="18">
        <v>0</v>
      </c>
      <c r="U7" s="18">
        <v>985305.44</v>
      </c>
      <c r="V7" s="18">
        <v>0</v>
      </c>
      <c r="W7" s="18">
        <v>0</v>
      </c>
    </row>
    <row r="8" spans="2:23" ht="36" customHeight="1" x14ac:dyDescent="0.2">
      <c r="B8" s="16" t="s">
        <v>303</v>
      </c>
      <c r="C8" s="16">
        <v>2017</v>
      </c>
      <c r="D8" s="7"/>
      <c r="E8" s="7" t="s">
        <v>305</v>
      </c>
      <c r="F8" s="7" t="s">
        <v>304</v>
      </c>
      <c r="G8" s="7"/>
      <c r="H8" s="7"/>
      <c r="I8" s="17">
        <v>43117</v>
      </c>
      <c r="J8" s="18"/>
      <c r="K8" s="18"/>
      <c r="L8" s="18"/>
      <c r="M8" s="18"/>
      <c r="N8" s="18"/>
      <c r="O8" s="18"/>
      <c r="P8" s="18" t="s">
        <v>245</v>
      </c>
      <c r="Q8" s="18" t="s">
        <v>245</v>
      </c>
      <c r="R8" s="18" t="s">
        <v>245</v>
      </c>
      <c r="S8" s="18">
        <v>0</v>
      </c>
      <c r="T8" s="18">
        <v>0</v>
      </c>
      <c r="U8" s="18">
        <v>184000</v>
      </c>
      <c r="V8" s="18">
        <v>0</v>
      </c>
      <c r="W8" s="18">
        <v>0</v>
      </c>
    </row>
    <row r="9" spans="2:23" ht="36" customHeight="1" x14ac:dyDescent="0.2">
      <c r="B9" s="28" t="s">
        <v>357</v>
      </c>
      <c r="C9" s="29">
        <v>2017</v>
      </c>
      <c r="D9" s="30"/>
      <c r="E9" s="30" t="s">
        <v>356</v>
      </c>
      <c r="F9" s="30" t="s">
        <v>358</v>
      </c>
      <c r="G9" s="30"/>
      <c r="H9" s="30"/>
      <c r="I9" s="32" t="s">
        <v>359</v>
      </c>
      <c r="J9" s="31"/>
      <c r="K9" s="31"/>
      <c r="L9" s="31"/>
      <c r="M9" s="31"/>
      <c r="N9" s="31"/>
      <c r="O9" s="31"/>
      <c r="P9" s="31"/>
      <c r="Q9" s="31"/>
      <c r="R9" s="31"/>
      <c r="S9" s="31">
        <v>0</v>
      </c>
      <c r="T9" s="31">
        <v>0</v>
      </c>
      <c r="U9" s="31">
        <v>0</v>
      </c>
      <c r="V9" s="31">
        <f>9212.85</f>
        <v>9212.85</v>
      </c>
      <c r="W9" s="31">
        <v>0</v>
      </c>
    </row>
    <row r="10" spans="2:23" ht="36" customHeight="1" x14ac:dyDescent="0.2">
      <c r="B10" s="16" t="s">
        <v>226</v>
      </c>
      <c r="C10" s="16">
        <v>2017</v>
      </c>
      <c r="D10" s="7"/>
      <c r="E10" s="7" t="s">
        <v>306</v>
      </c>
      <c r="F10" s="7" t="s">
        <v>307</v>
      </c>
      <c r="G10" s="7"/>
      <c r="H10" s="7"/>
      <c r="I10" s="17" t="s">
        <v>268</v>
      </c>
      <c r="J10" s="18"/>
      <c r="K10" s="18"/>
      <c r="L10" s="18"/>
      <c r="M10" s="18"/>
      <c r="N10" s="18"/>
      <c r="O10" s="18"/>
      <c r="P10" s="18" t="s">
        <v>245</v>
      </c>
      <c r="Q10" s="18" t="s">
        <v>245</v>
      </c>
      <c r="R10" s="18" t="s">
        <v>245</v>
      </c>
      <c r="S10" s="18">
        <v>0</v>
      </c>
      <c r="T10" s="18">
        <v>0</v>
      </c>
      <c r="U10" s="18">
        <v>0</v>
      </c>
      <c r="V10" s="18">
        <f>'[1]2017 - 2018'!$H$10</f>
        <v>2380.85</v>
      </c>
      <c r="W10" s="18">
        <f>2441.83+2607.02</f>
        <v>5048.8500000000004</v>
      </c>
    </row>
    <row r="11" spans="2:23" ht="36" customHeight="1" x14ac:dyDescent="0.2">
      <c r="B11" s="16" t="s">
        <v>308</v>
      </c>
      <c r="C11" s="16">
        <v>2017</v>
      </c>
      <c r="D11" s="7"/>
      <c r="E11" s="7" t="s">
        <v>309</v>
      </c>
      <c r="F11" s="7" t="s">
        <v>310</v>
      </c>
      <c r="G11" s="7"/>
      <c r="H11" s="7"/>
      <c r="I11" s="17">
        <v>43070</v>
      </c>
      <c r="J11" s="18"/>
      <c r="K11" s="18"/>
      <c r="L11" s="18"/>
      <c r="M11" s="18"/>
      <c r="N11" s="18"/>
      <c r="O11" s="18"/>
      <c r="P11" s="18" t="s">
        <v>245</v>
      </c>
      <c r="Q11" s="18" t="s">
        <v>245</v>
      </c>
      <c r="R11" s="18" t="s">
        <v>245</v>
      </c>
      <c r="S11" s="18">
        <v>0</v>
      </c>
      <c r="T11" s="18">
        <v>0</v>
      </c>
      <c r="U11" s="18">
        <v>270000</v>
      </c>
      <c r="V11" s="18">
        <v>0</v>
      </c>
      <c r="W11" s="18">
        <v>0</v>
      </c>
    </row>
    <row r="12" spans="2:23" ht="36" customHeight="1" x14ac:dyDescent="0.2">
      <c r="B12" s="16" t="s">
        <v>311</v>
      </c>
      <c r="C12" s="16">
        <v>2017</v>
      </c>
      <c r="D12" s="7"/>
      <c r="E12" s="7" t="s">
        <v>312</v>
      </c>
      <c r="F12" s="7" t="s">
        <v>313</v>
      </c>
      <c r="G12" s="7" t="s">
        <v>314</v>
      </c>
      <c r="H12" s="7"/>
      <c r="I12" s="17">
        <v>43085</v>
      </c>
      <c r="J12" s="18"/>
      <c r="K12" s="18"/>
      <c r="L12" s="18"/>
      <c r="M12" s="18"/>
      <c r="N12" s="18"/>
      <c r="O12" s="18"/>
      <c r="P12" s="18" t="s">
        <v>245</v>
      </c>
      <c r="Q12" s="18" t="s">
        <v>245</v>
      </c>
      <c r="R12" s="18" t="s">
        <v>245</v>
      </c>
      <c r="S12" s="18">
        <v>0</v>
      </c>
      <c r="T12" s="18">
        <v>50000</v>
      </c>
      <c r="U12" s="18">
        <v>0</v>
      </c>
      <c r="V12" s="18">
        <v>0</v>
      </c>
      <c r="W12" s="18">
        <v>0</v>
      </c>
    </row>
    <row r="13" spans="2:23" ht="36" customHeight="1" x14ac:dyDescent="0.2">
      <c r="B13" s="16" t="s">
        <v>315</v>
      </c>
      <c r="C13" s="16">
        <v>2017</v>
      </c>
      <c r="D13" s="7"/>
      <c r="E13" s="7" t="s">
        <v>317</v>
      </c>
      <c r="F13" s="7" t="s">
        <v>318</v>
      </c>
      <c r="G13" s="7" t="s">
        <v>316</v>
      </c>
      <c r="H13" s="7"/>
      <c r="I13" s="17">
        <v>43392</v>
      </c>
      <c r="J13" s="18"/>
      <c r="K13" s="18"/>
      <c r="L13" s="18"/>
      <c r="M13" s="18"/>
      <c r="N13" s="18"/>
      <c r="O13" s="18"/>
      <c r="P13" s="18" t="s">
        <v>245</v>
      </c>
      <c r="Q13" s="18" t="s">
        <v>245</v>
      </c>
      <c r="R13" s="18" t="s">
        <v>245</v>
      </c>
      <c r="S13" s="18">
        <v>0</v>
      </c>
      <c r="T13" s="18">
        <v>0</v>
      </c>
      <c r="U13" s="18">
        <v>0</v>
      </c>
      <c r="V13" s="18">
        <v>0</v>
      </c>
      <c r="W13" s="18">
        <v>0</v>
      </c>
    </row>
    <row r="14" spans="2:23" ht="36" customHeight="1" x14ac:dyDescent="0.2">
      <c r="B14" s="16" t="s">
        <v>319</v>
      </c>
      <c r="C14" s="16">
        <v>2017</v>
      </c>
      <c r="D14" s="7"/>
      <c r="E14" s="7" t="s">
        <v>321</v>
      </c>
      <c r="F14" s="7" t="s">
        <v>322</v>
      </c>
      <c r="G14" s="7" t="s">
        <v>320</v>
      </c>
      <c r="H14" s="7"/>
      <c r="I14" s="17">
        <v>43279</v>
      </c>
      <c r="J14" s="18"/>
      <c r="K14" s="18"/>
      <c r="L14" s="18"/>
      <c r="M14" s="18"/>
      <c r="N14" s="18"/>
      <c r="O14" s="18"/>
      <c r="P14" s="18" t="s">
        <v>245</v>
      </c>
      <c r="Q14" s="18" t="s">
        <v>245</v>
      </c>
      <c r="R14" s="18" t="s">
        <v>245</v>
      </c>
      <c r="S14" s="18">
        <v>0</v>
      </c>
      <c r="T14" s="18">
        <v>0</v>
      </c>
      <c r="U14" s="18">
        <v>0</v>
      </c>
      <c r="V14" s="18">
        <v>0</v>
      </c>
      <c r="W14" s="18">
        <v>0</v>
      </c>
    </row>
    <row r="15" spans="2:23" ht="36" customHeight="1" x14ac:dyDescent="0.2">
      <c r="B15" s="25" t="s">
        <v>325</v>
      </c>
      <c r="C15" s="16">
        <v>2017</v>
      </c>
      <c r="D15" s="7"/>
      <c r="E15" s="8" t="s">
        <v>326</v>
      </c>
      <c r="F15" s="7" t="s">
        <v>327</v>
      </c>
      <c r="G15" s="7"/>
      <c r="H15" s="7"/>
      <c r="I15" s="17">
        <v>43100</v>
      </c>
      <c r="J15" s="18"/>
      <c r="K15" s="18"/>
      <c r="L15" s="18"/>
      <c r="M15" s="18"/>
      <c r="N15" s="18"/>
      <c r="O15" s="18"/>
      <c r="P15" s="18"/>
      <c r="Q15" s="18"/>
      <c r="R15" s="18"/>
      <c r="S15" s="20">
        <v>0</v>
      </c>
      <c r="T15" s="20">
        <v>0</v>
      </c>
      <c r="U15" s="20">
        <f>296070</f>
        <v>296070</v>
      </c>
      <c r="V15" s="18">
        <v>0</v>
      </c>
      <c r="W15" s="18">
        <v>0</v>
      </c>
    </row>
    <row r="16" spans="2:23" ht="36" customHeight="1" x14ac:dyDescent="0.2">
      <c r="B16" s="16" t="s">
        <v>350</v>
      </c>
      <c r="C16" s="16">
        <v>2017</v>
      </c>
      <c r="D16" s="7"/>
      <c r="E16" s="8" t="s">
        <v>330</v>
      </c>
      <c r="F16" s="7" t="s">
        <v>328</v>
      </c>
      <c r="G16" s="7" t="s">
        <v>349</v>
      </c>
      <c r="H16" s="7"/>
      <c r="I16" s="23" t="s">
        <v>351</v>
      </c>
      <c r="J16" s="18"/>
      <c r="K16" s="18"/>
      <c r="L16" s="18"/>
      <c r="M16" s="18"/>
      <c r="N16" s="18"/>
      <c r="O16" s="18"/>
      <c r="P16" s="18"/>
      <c r="Q16" s="18"/>
      <c r="R16" s="18"/>
      <c r="S16" s="20">
        <v>0</v>
      </c>
      <c r="T16" s="20">
        <v>0</v>
      </c>
      <c r="U16" s="20">
        <f>1184867</f>
        <v>1184867</v>
      </c>
      <c r="V16" s="18">
        <v>0</v>
      </c>
      <c r="W16" s="18">
        <v>0</v>
      </c>
    </row>
    <row r="17" spans="2:23" ht="36" customHeight="1" x14ac:dyDescent="0.2">
      <c r="B17" s="25" t="s">
        <v>331</v>
      </c>
      <c r="C17" s="16">
        <v>2017</v>
      </c>
      <c r="D17" s="7"/>
      <c r="E17" s="8" t="s">
        <v>332</v>
      </c>
      <c r="F17" s="7" t="s">
        <v>333</v>
      </c>
      <c r="G17" s="7"/>
      <c r="H17" s="7"/>
      <c r="I17" s="21">
        <v>43414</v>
      </c>
      <c r="J17" s="18"/>
      <c r="K17" s="18"/>
      <c r="L17" s="18"/>
      <c r="M17" s="18"/>
      <c r="N17" s="18"/>
      <c r="O17" s="18"/>
      <c r="P17" s="18"/>
      <c r="Q17" s="18"/>
      <c r="R17" s="18"/>
      <c r="S17" s="20">
        <v>0</v>
      </c>
      <c r="T17" s="20">
        <v>0</v>
      </c>
      <c r="U17" s="20">
        <v>0</v>
      </c>
      <c r="V17" s="18">
        <f>'[2]2017-2018'!$H$7</f>
        <v>35429</v>
      </c>
      <c r="W17" s="18">
        <v>0</v>
      </c>
    </row>
    <row r="18" spans="2:23" ht="36" customHeight="1" x14ac:dyDescent="0.2">
      <c r="B18" s="16" t="s">
        <v>352</v>
      </c>
      <c r="C18" s="16">
        <v>2017</v>
      </c>
      <c r="D18" s="7"/>
      <c r="E18" s="7" t="s">
        <v>353</v>
      </c>
      <c r="F18" s="7" t="s">
        <v>354</v>
      </c>
      <c r="G18" s="7" t="s">
        <v>355</v>
      </c>
      <c r="H18" s="7"/>
      <c r="I18" s="21">
        <v>43446</v>
      </c>
      <c r="J18" s="18"/>
      <c r="K18" s="18"/>
      <c r="L18" s="18"/>
      <c r="M18" s="18"/>
      <c r="N18" s="18"/>
      <c r="O18" s="18"/>
      <c r="P18" s="18"/>
      <c r="Q18" s="18"/>
      <c r="R18" s="18"/>
      <c r="S18" s="18">
        <v>0</v>
      </c>
      <c r="T18" s="18">
        <v>0</v>
      </c>
      <c r="U18" s="18">
        <v>0</v>
      </c>
      <c r="V18" s="18">
        <v>0</v>
      </c>
      <c r="W18" s="18">
        <v>0</v>
      </c>
    </row>
    <row r="19" spans="2:23" ht="36" customHeight="1" x14ac:dyDescent="0.2">
      <c r="B19" s="25">
        <v>2018</v>
      </c>
      <c r="C19" s="16">
        <v>2018</v>
      </c>
      <c r="D19" s="7"/>
      <c r="E19" s="7" t="s">
        <v>346</v>
      </c>
      <c r="F19" s="7" t="s">
        <v>347</v>
      </c>
      <c r="G19" s="7" t="s">
        <v>348</v>
      </c>
      <c r="H19" s="7"/>
      <c r="I19" s="23" t="s">
        <v>344</v>
      </c>
      <c r="J19" s="18"/>
      <c r="K19" s="18"/>
      <c r="L19" s="18"/>
      <c r="M19" s="18"/>
      <c r="N19" s="18"/>
      <c r="O19" s="18"/>
      <c r="P19" s="18"/>
      <c r="Q19" s="18"/>
      <c r="R19" s="18"/>
      <c r="S19" s="18">
        <v>0</v>
      </c>
      <c r="T19" s="18">
        <v>0</v>
      </c>
      <c r="U19" s="18">
        <v>0</v>
      </c>
      <c r="V19" s="18">
        <v>0</v>
      </c>
      <c r="W19" s="18">
        <v>0</v>
      </c>
    </row>
    <row r="20" spans="2:23" ht="36" customHeight="1" x14ac:dyDescent="0.2">
      <c r="B20" s="25">
        <v>2018</v>
      </c>
      <c r="C20" s="16">
        <v>2018</v>
      </c>
      <c r="D20" s="7"/>
      <c r="E20" s="7" t="s">
        <v>360</v>
      </c>
      <c r="F20" s="7" t="s">
        <v>361</v>
      </c>
      <c r="G20" s="7"/>
      <c r="H20" s="7"/>
      <c r="I20" s="23" t="s">
        <v>344</v>
      </c>
      <c r="J20" s="18"/>
      <c r="K20" s="18"/>
      <c r="L20" s="18"/>
      <c r="M20" s="18"/>
      <c r="N20" s="18"/>
      <c r="O20" s="18"/>
      <c r="P20" s="18"/>
      <c r="Q20" s="18"/>
      <c r="R20" s="18"/>
      <c r="S20" s="18">
        <v>0</v>
      </c>
      <c r="T20" s="18">
        <v>0</v>
      </c>
      <c r="U20" s="18">
        <v>0</v>
      </c>
      <c r="V20" s="18">
        <v>0</v>
      </c>
      <c r="W20" s="18">
        <v>0</v>
      </c>
    </row>
    <row r="21" spans="2:23" ht="36" customHeight="1" x14ac:dyDescent="0.2">
      <c r="B21" s="25">
        <v>2017</v>
      </c>
      <c r="C21" s="16">
        <v>2017</v>
      </c>
      <c r="D21" s="7"/>
      <c r="E21" s="8" t="s">
        <v>334</v>
      </c>
      <c r="F21" s="8" t="s">
        <v>335</v>
      </c>
      <c r="G21" s="7"/>
      <c r="H21" s="7"/>
      <c r="I21" s="21" t="s">
        <v>329</v>
      </c>
      <c r="J21" s="18"/>
      <c r="K21" s="18"/>
      <c r="L21" s="18"/>
      <c r="M21" s="18"/>
      <c r="N21" s="18"/>
      <c r="O21" s="18"/>
      <c r="P21" s="18"/>
      <c r="Q21" s="18"/>
      <c r="R21" s="18"/>
      <c r="S21" s="20">
        <v>0</v>
      </c>
      <c r="T21" s="20">
        <v>0</v>
      </c>
      <c r="U21" s="20">
        <v>0</v>
      </c>
      <c r="V21" s="18">
        <v>0</v>
      </c>
      <c r="W21" s="18">
        <v>0</v>
      </c>
    </row>
    <row r="22" spans="2:23" ht="39.75" customHeight="1" x14ac:dyDescent="0.2">
      <c r="B22" s="16" t="s">
        <v>182</v>
      </c>
      <c r="C22" s="16">
        <v>2017</v>
      </c>
      <c r="D22" s="7"/>
      <c r="E22" s="7" t="s">
        <v>8</v>
      </c>
      <c r="F22" s="7" t="s">
        <v>9</v>
      </c>
      <c r="G22" s="7"/>
      <c r="H22" s="7"/>
      <c r="I22" s="17">
        <v>43202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18">
        <f>SUM('[3]FSB 2017-2018'!$G$36:$G$45)</f>
        <v>403777.55</v>
      </c>
      <c r="P22" s="18">
        <f>SUM('[3]FSB 2017-2018'!$G$50:$G$69)</f>
        <v>883534.05999999994</v>
      </c>
      <c r="Q22" s="18">
        <f>'[3]FSB 2017-2018'!$G$85</f>
        <v>87972.28</v>
      </c>
      <c r="R22" s="22">
        <f>SUM('[3]FSB 2017-2018'!$G$47+'[3]FSB 2017-2018'!$G$70+'[3]FSB 2017-2018'!$G$71+'[3]FSB 2017-2018'!$G$72+'[3]FSB 2017-2018'!$G$73+'[3]FSB 2017-2018'!$G$74+'[3]FSB 2017-2018'!$G$75+'[3]FSB 2017-2018'!$G$76+'[3]FSB 2017-2018'!$G$77+'[3]FSB 2017-2018'!$G$78+'[3]FSB 2017-2018'!$G$79+'[3]FSB 2017-2018'!$G$80+'[3]FSB 2017-2018'!$G$81+'[3]FSB 2017-2018'!$G$82+'[3]FSB 2017-2018'!$G$83+'[3]FSB 2017-2018'!$G$86+'[3]FSB 2017-2018'!$G$87+'[3]FSB 2017-2018'!$G$88)</f>
        <v>455035.22</v>
      </c>
      <c r="S22" s="18">
        <f>2051237.32</f>
        <v>2051237.32</v>
      </c>
      <c r="T22" s="18">
        <f>51371.25+51371.25+339099.3+265044.93</f>
        <v>706886.73</v>
      </c>
      <c r="U22" s="18">
        <f>437300.78+22783.38+746787.95</f>
        <v>1206872.1099999999</v>
      </c>
      <c r="V22" s="18">
        <v>644757.91</v>
      </c>
      <c r="W22" s="18">
        <v>487937.05</v>
      </c>
    </row>
    <row r="23" spans="2:23" ht="39.75" customHeight="1" x14ac:dyDescent="0.2">
      <c r="B23" s="16" t="s">
        <v>256</v>
      </c>
      <c r="C23" s="16">
        <v>2013</v>
      </c>
      <c r="D23" s="7"/>
      <c r="E23" s="7" t="s">
        <v>257</v>
      </c>
      <c r="F23" s="7" t="s">
        <v>258</v>
      </c>
      <c r="G23" s="7"/>
      <c r="H23" s="7"/>
      <c r="I23" s="17">
        <v>43078</v>
      </c>
      <c r="J23" s="20">
        <v>0</v>
      </c>
      <c r="K23" s="20">
        <f>24673.87+9008.5</f>
        <v>33682.369999999995</v>
      </c>
      <c r="L23" s="20">
        <v>0</v>
      </c>
      <c r="M23" s="20">
        <f>10765.4+11050.63</f>
        <v>21816.03</v>
      </c>
      <c r="N23" s="20">
        <f>9540.69</f>
        <v>9540.69</v>
      </c>
      <c r="O23" s="18">
        <f>26634.78</f>
        <v>26634.78</v>
      </c>
      <c r="P23" s="18">
        <f>13854.42</f>
        <v>13854.42</v>
      </c>
      <c r="Q23" s="18">
        <v>14055.8</v>
      </c>
      <c r="R23" s="18">
        <f>'[4]2016 a 2017'!$H$17</f>
        <v>12003.07</v>
      </c>
      <c r="S23" s="18">
        <f>8637.02</f>
        <v>8637.02</v>
      </c>
      <c r="T23" s="18">
        <f>12284.61</f>
        <v>12284.61</v>
      </c>
      <c r="U23" s="18">
        <f>9442.72</f>
        <v>9442.7199999999993</v>
      </c>
      <c r="V23" s="18">
        <f>'[5]2017 a 2018'!$H$9</f>
        <v>9480.33</v>
      </c>
      <c r="W23" s="18">
        <f>'[5]2017 a 2018'!$H$10</f>
        <v>7939.45</v>
      </c>
    </row>
    <row r="24" spans="2:23" ht="39.75" customHeight="1" x14ac:dyDescent="0.2">
      <c r="B24" s="16" t="s">
        <v>11</v>
      </c>
      <c r="C24" s="16">
        <v>2014</v>
      </c>
      <c r="D24" s="7" t="s">
        <v>12</v>
      </c>
      <c r="E24" s="7" t="s">
        <v>13</v>
      </c>
      <c r="F24" s="7" t="s">
        <v>14</v>
      </c>
      <c r="G24" s="7" t="s">
        <v>15</v>
      </c>
      <c r="H24" s="7" t="s">
        <v>16</v>
      </c>
      <c r="I24" s="17">
        <v>43079</v>
      </c>
      <c r="J24" s="20">
        <v>0</v>
      </c>
      <c r="K24" s="18">
        <f>336530.62+327398.08</f>
        <v>663928.69999999995</v>
      </c>
      <c r="L24" s="18">
        <f>295815.31</f>
        <v>295815.31</v>
      </c>
      <c r="M24" s="20">
        <v>0</v>
      </c>
      <c r="N24" s="18">
        <f>346264.62+265709.91</f>
        <v>611974.53</v>
      </c>
      <c r="O24" s="18">
        <f>347874.79</f>
        <v>347874.79</v>
      </c>
      <c r="P24" s="18">
        <f>399777</f>
        <v>399777</v>
      </c>
      <c r="Q24" s="18">
        <f>390025.6</f>
        <v>390025.6</v>
      </c>
      <c r="R24" s="18">
        <f>'[6]TELLUS 2016 - 2017'!$H$15</f>
        <v>571953.31999999995</v>
      </c>
      <c r="S24" s="18">
        <f>371578.24</f>
        <v>371578.24</v>
      </c>
      <c r="T24" s="18">
        <f>390662.02</f>
        <v>390662.02</v>
      </c>
      <c r="U24" s="18">
        <f>387047.8</f>
        <v>387047.8</v>
      </c>
      <c r="V24" s="18">
        <f>'[7]TELLUS 2017 - 2018'!$H$7</f>
        <v>364154.88</v>
      </c>
      <c r="W24" s="18">
        <f>'[7]TELLUS 2017 - 2018'!$H$8</f>
        <v>393844.32</v>
      </c>
    </row>
    <row r="25" spans="2:23" ht="39.75" customHeight="1" x14ac:dyDescent="0.2">
      <c r="B25" s="16" t="s">
        <v>262</v>
      </c>
      <c r="C25" s="16">
        <v>2014</v>
      </c>
      <c r="D25" s="7"/>
      <c r="E25" s="7" t="s">
        <v>263</v>
      </c>
      <c r="F25" s="7" t="s">
        <v>264</v>
      </c>
      <c r="G25" s="7"/>
      <c r="H25" s="7"/>
      <c r="I25" s="17">
        <v>43196</v>
      </c>
      <c r="J25" s="20">
        <v>0</v>
      </c>
      <c r="K25" s="18">
        <f>'[8]2016-2017'!$H$17</f>
        <v>988.92</v>
      </c>
      <c r="L25" s="18">
        <f>'[8]2016-2017'!$H$18</f>
        <v>1350.72</v>
      </c>
      <c r="M25" s="20">
        <v>0</v>
      </c>
      <c r="N25" s="18">
        <f>'[8]2016-2017'!$H$19+'[8]2016-2017'!$H$20</f>
        <v>2930.58</v>
      </c>
      <c r="O25" s="18">
        <v>0</v>
      </c>
      <c r="P25" s="18">
        <f>'[8]2017-2018'!$H$9</f>
        <v>1684.38</v>
      </c>
      <c r="Q25" s="18">
        <f>1085.4+1037.16</f>
        <v>2122.5600000000004</v>
      </c>
      <c r="R25" s="18" t="s">
        <v>245</v>
      </c>
      <c r="S25" s="18">
        <v>2066.2800000000002</v>
      </c>
      <c r="T25" s="18">
        <v>968.82</v>
      </c>
      <c r="U25" s="18">
        <v>968.82</v>
      </c>
      <c r="V25" s="18">
        <v>1471.32</v>
      </c>
      <c r="W25" s="18">
        <v>0</v>
      </c>
    </row>
    <row r="26" spans="2:23" ht="39.75" customHeight="1" x14ac:dyDescent="0.2">
      <c r="B26" s="16" t="s">
        <v>251</v>
      </c>
      <c r="C26" s="16">
        <v>2014</v>
      </c>
      <c r="D26" s="7"/>
      <c r="E26" s="7" t="s">
        <v>252</v>
      </c>
      <c r="F26" s="7" t="s">
        <v>253</v>
      </c>
      <c r="G26" s="7"/>
      <c r="H26" s="7"/>
      <c r="I26" s="17">
        <v>43055</v>
      </c>
      <c r="J26" s="20">
        <f>'[9]Apecê 2016 - 2017'!$H$10</f>
        <v>61461.9</v>
      </c>
      <c r="K26" s="18">
        <f>'[9]Apecê 2016 - 2017'!$H$11</f>
        <v>60481.59</v>
      </c>
      <c r="L26" s="18">
        <f>'[9]Apecê 2016 - 2017'!$H$12</f>
        <v>60993.71</v>
      </c>
      <c r="M26" s="20">
        <f>'[9]Apecê 2016 - 2017'!$H$13</f>
        <v>61042.42</v>
      </c>
      <c r="N26" s="18">
        <f>'[9]Apecê 2016 - 2017'!$H$14</f>
        <v>60406.62</v>
      </c>
      <c r="O26" s="18">
        <f>'[9]Apecê 2016 - 2017'!$H$15</f>
        <v>61862.1</v>
      </c>
      <c r="P26" s="18">
        <f>'[9]Apecê 2016 - 2017'!$H$16</f>
        <v>62010.35</v>
      </c>
      <c r="Q26" s="18">
        <f>61765.9</f>
        <v>61765.9</v>
      </c>
      <c r="R26" s="18">
        <f>'[9]Apecê 2016 - 2017'!$H$18</f>
        <v>62047.94</v>
      </c>
      <c r="S26" s="18">
        <v>62114.26</v>
      </c>
      <c r="T26" s="18">
        <f>107622.88</f>
        <v>107622.88</v>
      </c>
      <c r="U26" s="18">
        <f>66491.31</f>
        <v>66491.31</v>
      </c>
      <c r="V26" s="18">
        <f>'[10]Apecê 2017 - 2018'!$H$10</f>
        <v>65171.73</v>
      </c>
      <c r="W26" s="18">
        <f>'[10]Apecê 2017 - 2018'!$H$11</f>
        <v>66898.62</v>
      </c>
    </row>
    <row r="27" spans="2:23" ht="39.75" customHeight="1" x14ac:dyDescent="0.2">
      <c r="B27" s="16" t="s">
        <v>17</v>
      </c>
      <c r="C27" s="16">
        <v>2015</v>
      </c>
      <c r="D27" s="7" t="s">
        <v>12</v>
      </c>
      <c r="E27" s="7" t="s">
        <v>18</v>
      </c>
      <c r="F27" s="7" t="s">
        <v>19</v>
      </c>
      <c r="G27" s="7" t="s">
        <v>20</v>
      </c>
      <c r="H27" s="7" t="s">
        <v>21</v>
      </c>
      <c r="I27" s="17">
        <v>42818</v>
      </c>
      <c r="J27" s="18">
        <v>7875</v>
      </c>
      <c r="K27" s="18">
        <v>7875</v>
      </c>
      <c r="L27" s="18">
        <v>7875</v>
      </c>
      <c r="M27" s="18">
        <f>5775+2100</f>
        <v>7875</v>
      </c>
      <c r="N27" s="18">
        <v>7875</v>
      </c>
      <c r="O27" s="18">
        <v>7875</v>
      </c>
      <c r="P27" s="18">
        <v>7875</v>
      </c>
      <c r="Q27" s="18">
        <v>7875</v>
      </c>
      <c r="R27" s="18">
        <v>7875</v>
      </c>
      <c r="S27" s="18">
        <v>0</v>
      </c>
      <c r="T27" s="18">
        <f>7875+7875</f>
        <v>15750</v>
      </c>
      <c r="U27" s="20">
        <v>7875</v>
      </c>
      <c r="V27" s="18">
        <v>7875</v>
      </c>
      <c r="W27" s="18">
        <v>7875</v>
      </c>
    </row>
    <row r="28" spans="2:23" ht="39.75" customHeight="1" x14ac:dyDescent="0.2">
      <c r="B28" s="16" t="s">
        <v>22</v>
      </c>
      <c r="C28" s="16">
        <v>2015</v>
      </c>
      <c r="D28" s="7" t="s">
        <v>12</v>
      </c>
      <c r="E28" s="7" t="s">
        <v>23</v>
      </c>
      <c r="F28" s="7" t="s">
        <v>24</v>
      </c>
      <c r="G28" s="7" t="s">
        <v>25</v>
      </c>
      <c r="H28" s="7" t="s">
        <v>26</v>
      </c>
      <c r="I28" s="17">
        <v>42824</v>
      </c>
      <c r="J28" s="20">
        <v>0</v>
      </c>
      <c r="K28" s="18">
        <f>86363.42</f>
        <v>86363.42</v>
      </c>
      <c r="L28" s="18">
        <f>87211.84</f>
        <v>87211.839999999997</v>
      </c>
      <c r="M28" s="18">
        <f>86858.72</f>
        <v>86858.72</v>
      </c>
      <c r="N28" s="18">
        <f>86906.82</f>
        <v>86906.82</v>
      </c>
      <c r="O28" s="18">
        <f>86768.34</f>
        <v>86768.34</v>
      </c>
      <c r="P28" s="20" t="s">
        <v>245</v>
      </c>
      <c r="Q28" s="20">
        <f>125823.54+94044.13</f>
        <v>219867.66999999998</v>
      </c>
      <c r="R28" s="18">
        <v>93651.13</v>
      </c>
      <c r="S28" s="18">
        <v>94257.03</v>
      </c>
      <c r="T28" s="18">
        <f>94036.25</f>
        <v>94036.25</v>
      </c>
      <c r="U28" s="18">
        <f>96219.39</f>
        <v>96219.39</v>
      </c>
      <c r="V28" s="18">
        <v>96070.05</v>
      </c>
      <c r="W28" s="18">
        <v>104615.55</v>
      </c>
    </row>
    <row r="29" spans="2:23" ht="39.75" customHeight="1" x14ac:dyDescent="0.2">
      <c r="B29" s="16" t="s">
        <v>27</v>
      </c>
      <c r="C29" s="16">
        <v>2015</v>
      </c>
      <c r="D29" s="7" t="s">
        <v>12</v>
      </c>
      <c r="E29" s="7" t="s">
        <v>28</v>
      </c>
      <c r="F29" s="7" t="s">
        <v>29</v>
      </c>
      <c r="G29" s="7" t="s">
        <v>30</v>
      </c>
      <c r="H29" s="7" t="s">
        <v>31</v>
      </c>
      <c r="I29" s="17">
        <v>43189</v>
      </c>
      <c r="J29" s="18">
        <v>114708.35</v>
      </c>
      <c r="K29" s="18">
        <v>114708.35</v>
      </c>
      <c r="L29" s="18">
        <v>114708.35</v>
      </c>
      <c r="M29" s="18">
        <v>114708.35</v>
      </c>
      <c r="N29" s="18">
        <f>113208</f>
        <v>113208</v>
      </c>
      <c r="O29" s="18">
        <f>124076.26</f>
        <v>124076.26</v>
      </c>
      <c r="P29" s="20" t="s">
        <v>245</v>
      </c>
      <c r="Q29" s="20">
        <f>134108.28+179035.4</f>
        <v>313143.67999999999</v>
      </c>
      <c r="R29" s="18">
        <f>'[11]VISAO 2017 - 2018'!$H$13</f>
        <v>134108.28</v>
      </c>
      <c r="S29" s="18">
        <v>134108.28</v>
      </c>
      <c r="T29" s="18">
        <v>134108.28</v>
      </c>
      <c r="U29" s="18">
        <v>134108.28</v>
      </c>
      <c r="V29" s="18">
        <f>'[12]VISAO 2017 - 2018'!$H$17</f>
        <v>134108.28</v>
      </c>
      <c r="W29" s="18">
        <f>'[12]VISAO 2017 - 2018'!$H$18</f>
        <v>134108.28</v>
      </c>
    </row>
    <row r="30" spans="2:23" ht="39.75" customHeight="1" x14ac:dyDescent="0.2">
      <c r="B30" s="16" t="s">
        <v>32</v>
      </c>
      <c r="C30" s="16">
        <v>2016</v>
      </c>
      <c r="D30" s="7" t="s">
        <v>12</v>
      </c>
      <c r="E30" s="7" t="s">
        <v>33</v>
      </c>
      <c r="F30" s="7" t="s">
        <v>34</v>
      </c>
      <c r="G30" s="7" t="s">
        <v>35</v>
      </c>
      <c r="H30" s="7" t="s">
        <v>36</v>
      </c>
      <c r="I30" s="17">
        <v>42885</v>
      </c>
      <c r="J30" s="20">
        <v>0</v>
      </c>
      <c r="K30" s="18">
        <f>88110.43</f>
        <v>88110.43</v>
      </c>
      <c r="L30" s="18">
        <f>87243.61+88761.01</f>
        <v>176004.62</v>
      </c>
      <c r="M30" s="18">
        <f>95734.56</f>
        <v>95734.56</v>
      </c>
      <c r="N30" s="18">
        <f>94784.62</f>
        <v>94784.62</v>
      </c>
      <c r="O30" s="20">
        <v>0</v>
      </c>
      <c r="P30" s="18">
        <f>91569.97</f>
        <v>91569.97</v>
      </c>
      <c r="Q30" s="18">
        <f>115002.51</f>
        <v>115002.51</v>
      </c>
      <c r="R30" s="18">
        <f>'[13]HEPTA 2017 - 2018'!$H$11+'[13]HEPTA 2017 - 2018'!$H$12</f>
        <v>167232.20000000001</v>
      </c>
      <c r="S30" s="18">
        <v>119599.27</v>
      </c>
      <c r="T30" s="18">
        <f>106015</f>
        <v>106015</v>
      </c>
      <c r="U30" s="18">
        <f>97733.78</f>
        <v>97733.78</v>
      </c>
      <c r="V30" s="18">
        <v>0</v>
      </c>
      <c r="W30" s="18">
        <f>93293.48+89189.88</f>
        <v>182483.36</v>
      </c>
    </row>
    <row r="31" spans="2:23" ht="39.75" customHeight="1" x14ac:dyDescent="0.2">
      <c r="B31" s="16" t="s">
        <v>37</v>
      </c>
      <c r="C31" s="16">
        <v>2012</v>
      </c>
      <c r="D31" s="7" t="s">
        <v>12</v>
      </c>
      <c r="E31" s="7" t="s">
        <v>38</v>
      </c>
      <c r="F31" s="7" t="s">
        <v>39</v>
      </c>
      <c r="G31" s="7" t="s">
        <v>40</v>
      </c>
      <c r="H31" s="7" t="s">
        <v>41</v>
      </c>
      <c r="I31" s="17">
        <v>43024</v>
      </c>
      <c r="J31" s="18">
        <f>3253.03</f>
        <v>3253.03</v>
      </c>
      <c r="K31" s="18">
        <v>3504.93</v>
      </c>
      <c r="L31" s="18">
        <f>'[14]2016 - 2017'!$H$14</f>
        <v>3128.4</v>
      </c>
      <c r="M31" s="18">
        <f>'[14]2016 - 2017'!$H$15</f>
        <v>3522.2</v>
      </c>
      <c r="N31" s="18">
        <f>'[14]2016 - 2017'!$H$16</f>
        <v>3158.01</v>
      </c>
      <c r="O31" s="18">
        <f>'[14]2016 - 2017'!$H$17</f>
        <v>3618.36</v>
      </c>
      <c r="P31" s="18">
        <f>'[14]2016 - 2017'!$H$18</f>
        <v>3390.93</v>
      </c>
      <c r="Q31" s="18">
        <f>3331.93</f>
        <v>3331.93</v>
      </c>
      <c r="R31" s="18">
        <f>'[14]2016 - 2017'!$H$20</f>
        <v>3627.07</v>
      </c>
      <c r="S31" s="18">
        <v>3237.55</v>
      </c>
      <c r="T31" s="18">
        <v>0</v>
      </c>
      <c r="U31" s="18">
        <v>0</v>
      </c>
      <c r="V31" s="18">
        <v>0</v>
      </c>
      <c r="W31" s="18">
        <v>0</v>
      </c>
    </row>
    <row r="32" spans="2:23" ht="39.75" customHeight="1" x14ac:dyDescent="0.2">
      <c r="B32" s="16" t="s">
        <v>42</v>
      </c>
      <c r="C32" s="16">
        <v>2012</v>
      </c>
      <c r="D32" s="7" t="s">
        <v>43</v>
      </c>
      <c r="E32" s="7" t="s">
        <v>44</v>
      </c>
      <c r="F32" s="7" t="s">
        <v>45</v>
      </c>
      <c r="G32" s="7" t="s">
        <v>46</v>
      </c>
      <c r="H32" s="7" t="s">
        <v>47</v>
      </c>
      <c r="I32" s="17">
        <v>43075</v>
      </c>
      <c r="J32" s="20">
        <v>0</v>
      </c>
      <c r="K32" s="20">
        <v>0</v>
      </c>
      <c r="L32" s="20">
        <v>0</v>
      </c>
      <c r="M32" s="18">
        <f>'[15]2016-2017'!$H$12</f>
        <v>1982.4</v>
      </c>
      <c r="N32" s="18">
        <f>'[15]2016-2017'!$H$13</f>
        <v>1163.25</v>
      </c>
      <c r="O32" s="18">
        <f>'[15]2016-2017'!$H$14</f>
        <v>1240.77</v>
      </c>
      <c r="P32" s="18">
        <f>'[15]2016-2017'!$H$15+'[15]2016-2017'!$H$16</f>
        <v>2171.4</v>
      </c>
      <c r="Q32" s="18">
        <f>2342.61</f>
        <v>2342.61</v>
      </c>
      <c r="R32" s="18">
        <v>542.85</v>
      </c>
      <c r="S32" s="18">
        <f>2885.46+620.4</f>
        <v>3505.86</v>
      </c>
      <c r="T32" s="18">
        <f>10145.92+1163.25</f>
        <v>11309.17</v>
      </c>
      <c r="U32" s="18" t="s">
        <v>245</v>
      </c>
      <c r="V32" s="18" t="s">
        <v>245</v>
      </c>
      <c r="W32" s="18" t="s">
        <v>245</v>
      </c>
    </row>
    <row r="33" spans="2:23" ht="39.75" customHeight="1" x14ac:dyDescent="0.2">
      <c r="B33" s="16" t="s">
        <v>230</v>
      </c>
      <c r="C33" s="16">
        <v>2017</v>
      </c>
      <c r="D33" s="7" t="s">
        <v>43</v>
      </c>
      <c r="E33" s="7" t="s">
        <v>44</v>
      </c>
      <c r="F33" s="7" t="s">
        <v>45</v>
      </c>
      <c r="G33" s="7"/>
      <c r="H33" s="7"/>
      <c r="I33" s="17">
        <v>43440</v>
      </c>
      <c r="J33" s="20"/>
      <c r="K33" s="20"/>
      <c r="L33" s="20"/>
      <c r="M33" s="18"/>
      <c r="N33" s="18"/>
      <c r="O33" s="18"/>
      <c r="P33" s="18"/>
      <c r="Q33" s="18"/>
      <c r="R33" s="18"/>
      <c r="S33" s="18">
        <v>0</v>
      </c>
      <c r="T33" s="18">
        <v>0</v>
      </c>
      <c r="U33" s="18">
        <v>0</v>
      </c>
      <c r="V33" s="18">
        <v>0</v>
      </c>
      <c r="W33" s="18">
        <v>0</v>
      </c>
    </row>
    <row r="34" spans="2:23" ht="39.75" customHeight="1" x14ac:dyDescent="0.2">
      <c r="B34" s="16" t="s">
        <v>48</v>
      </c>
      <c r="C34" s="16">
        <v>2014</v>
      </c>
      <c r="D34" s="7" t="s">
        <v>12</v>
      </c>
      <c r="E34" s="7" t="s">
        <v>49</v>
      </c>
      <c r="F34" s="7" t="s">
        <v>50</v>
      </c>
      <c r="G34" s="7" t="s">
        <v>51</v>
      </c>
      <c r="H34" s="7" t="s">
        <v>52</v>
      </c>
      <c r="I34" s="17">
        <v>43087</v>
      </c>
      <c r="J34" s="18">
        <f>'[16]2016 - 2017'!$H$9</f>
        <v>3101.12</v>
      </c>
      <c r="K34" s="18">
        <f>'[16]2016 - 2017'!$H$10</f>
        <v>7394.97</v>
      </c>
      <c r="L34" s="18">
        <f>'[16]2016 - 2017'!$H$11</f>
        <v>7893.32</v>
      </c>
      <c r="M34" s="18">
        <f>'[16]2016 - 2017'!$H$12</f>
        <v>7893.32</v>
      </c>
      <c r="N34" s="18">
        <f>'[16]2016 - 2017'!$H$13</f>
        <v>7893.32</v>
      </c>
      <c r="O34" s="18">
        <f>'[16]2016 - 2017'!$H$14</f>
        <v>7893.32</v>
      </c>
      <c r="P34" s="18">
        <f>'[16]2016 - 2017'!$H$15</f>
        <v>7893.32</v>
      </c>
      <c r="Q34" s="18">
        <v>7893.32</v>
      </c>
      <c r="R34" s="18">
        <f>'[16]2016 - 2017'!$H$17</f>
        <v>7893.32</v>
      </c>
      <c r="S34" s="18">
        <v>7893.32</v>
      </c>
      <c r="T34" s="18">
        <v>7893.32</v>
      </c>
      <c r="U34" s="18">
        <v>7893.32</v>
      </c>
      <c r="V34" s="18">
        <f>'[17]2017 - 2018'!$H$9</f>
        <v>3310.1</v>
      </c>
      <c r="W34" s="18">
        <f>'[17]2017 - 2018'!$H$10</f>
        <v>7893.32</v>
      </c>
    </row>
    <row r="35" spans="2:23" ht="39.75" customHeight="1" x14ac:dyDescent="0.2">
      <c r="B35" s="16" t="s">
        <v>53</v>
      </c>
      <c r="C35" s="16">
        <v>2014</v>
      </c>
      <c r="D35" s="7" t="s">
        <v>54</v>
      </c>
      <c r="E35" s="7" t="s">
        <v>55</v>
      </c>
      <c r="F35" s="7" t="s">
        <v>56</v>
      </c>
      <c r="G35" s="7" t="s">
        <v>57</v>
      </c>
      <c r="H35" s="7" t="s">
        <v>58</v>
      </c>
      <c r="I35" s="17">
        <v>42943</v>
      </c>
      <c r="J35" s="18">
        <v>5500</v>
      </c>
      <c r="K35" s="20">
        <v>0</v>
      </c>
      <c r="L35" s="18">
        <v>5500</v>
      </c>
      <c r="M35" s="18">
        <v>5500</v>
      </c>
      <c r="N35" s="18">
        <f>5500+5500</f>
        <v>11000</v>
      </c>
      <c r="O35" s="20">
        <v>0</v>
      </c>
      <c r="P35" s="18">
        <v>5500</v>
      </c>
      <c r="Q35" s="18">
        <v>5500</v>
      </c>
      <c r="R35" s="18">
        <v>5500</v>
      </c>
      <c r="S35" s="18">
        <v>5500</v>
      </c>
      <c r="T35" s="18">
        <v>5500</v>
      </c>
      <c r="U35" s="18">
        <f>5500+5500</f>
        <v>11000</v>
      </c>
      <c r="V35" s="18">
        <v>5500</v>
      </c>
      <c r="W35" s="18">
        <v>0</v>
      </c>
    </row>
    <row r="36" spans="2:23" ht="39.75" customHeight="1" x14ac:dyDescent="0.2">
      <c r="B36" s="16" t="s">
        <v>59</v>
      </c>
      <c r="C36" s="16">
        <v>2014</v>
      </c>
      <c r="D36" s="7" t="s">
        <v>12</v>
      </c>
      <c r="E36" s="7" t="s">
        <v>60</v>
      </c>
      <c r="F36" s="7" t="s">
        <v>61</v>
      </c>
      <c r="G36" s="7" t="s">
        <v>62</v>
      </c>
      <c r="H36" s="7" t="s">
        <v>63</v>
      </c>
      <c r="I36" s="17">
        <v>43008</v>
      </c>
      <c r="J36" s="18">
        <f>'[18]ASC 2016 2017 '!$G$12</f>
        <v>95404.800000000003</v>
      </c>
      <c r="K36" s="18">
        <f>'[18]ASC 2016 2017 '!$G$13</f>
        <v>95404.800000000003</v>
      </c>
      <c r="L36" s="18">
        <f>'[18]ASC 2016 2017 '!$G$14</f>
        <v>95404.800000000003</v>
      </c>
      <c r="M36" s="18">
        <f>'[18]ASC 2016 2017 '!$G$15</f>
        <v>95404.800000000003</v>
      </c>
      <c r="N36" s="18">
        <f>'[18]ASC 2016 2017 '!$G$16</f>
        <v>95404.800000000003</v>
      </c>
      <c r="O36" s="18">
        <f>'[18]ASC 2016 2017 '!$G$17</f>
        <v>95404.800000000003</v>
      </c>
      <c r="P36" s="18">
        <f>'[18]ASC 2016 2017 '!$G$18</f>
        <v>95404.800000000003</v>
      </c>
      <c r="Q36" s="18">
        <v>95404.800000000003</v>
      </c>
      <c r="R36" s="18">
        <f>'[18]ASC 2016 2017 '!$G$20</f>
        <v>95404.800000000003</v>
      </c>
      <c r="S36" s="18">
        <v>95404.800000000003</v>
      </c>
      <c r="T36" s="18">
        <v>95404.800000000003</v>
      </c>
      <c r="U36" s="18">
        <v>95404.800000000003</v>
      </c>
      <c r="V36" s="18">
        <f>'[19]ASC 2017-2018'!$G$12</f>
        <v>95404.800000000003</v>
      </c>
      <c r="W36" s="18">
        <f>'[19]ASC 2017-2018'!$G$13</f>
        <v>120545.64</v>
      </c>
    </row>
    <row r="37" spans="2:23" ht="39.75" customHeight="1" x14ac:dyDescent="0.2">
      <c r="B37" s="16" t="s">
        <v>64</v>
      </c>
      <c r="C37" s="16">
        <v>2015</v>
      </c>
      <c r="D37" s="7" t="s">
        <v>54</v>
      </c>
      <c r="E37" s="7" t="s">
        <v>65</v>
      </c>
      <c r="F37" s="7" t="s">
        <v>66</v>
      </c>
      <c r="G37" s="7" t="s">
        <v>67</v>
      </c>
      <c r="H37" s="7" t="s">
        <v>68</v>
      </c>
      <c r="I37" s="17">
        <v>43101</v>
      </c>
      <c r="J37" s="18">
        <f>'[20]GARTNER 2016'!$H$21</f>
        <v>20458.330000000002</v>
      </c>
      <c r="K37" s="18">
        <f>'[20]GARTNER 2017'!$H$7</f>
        <v>20458.330000000002</v>
      </c>
      <c r="L37" s="18">
        <f>'[20]GARTNER 2017'!$H$8</f>
        <v>20458.34</v>
      </c>
      <c r="M37" s="20">
        <v>0</v>
      </c>
      <c r="N37" s="18">
        <f>'[20]GARTNER 2017'!$H$9+'[20]GARTNER 2017'!$H$10</f>
        <v>46304</v>
      </c>
      <c r="O37" s="18">
        <f>'[20]GARTNER 2017'!$H$11</f>
        <v>21805.17</v>
      </c>
      <c r="P37" s="18">
        <f>'[20]GARTNER 2017'!$H$12</f>
        <v>21805.17</v>
      </c>
      <c r="Q37" s="18" t="s">
        <v>245</v>
      </c>
      <c r="R37" s="18">
        <f>'[20]GARTNER 2017'!$H$13+'[20]GARTNER 2017'!$H$14</f>
        <v>43610.34</v>
      </c>
      <c r="S37" s="18">
        <v>21805.18</v>
      </c>
      <c r="T37" s="18">
        <v>0</v>
      </c>
      <c r="U37" s="18">
        <f>21805.18+21805.18</f>
        <v>43610.36</v>
      </c>
      <c r="V37" s="18">
        <v>0</v>
      </c>
      <c r="W37" s="18">
        <v>0</v>
      </c>
    </row>
    <row r="38" spans="2:23" ht="39.75" customHeight="1" x14ac:dyDescent="0.2">
      <c r="B38" s="16" t="s">
        <v>242</v>
      </c>
      <c r="C38" s="16">
        <v>2016</v>
      </c>
      <c r="D38" s="7" t="s">
        <v>69</v>
      </c>
      <c r="E38" s="7" t="s">
        <v>70</v>
      </c>
      <c r="F38" s="7" t="s">
        <v>71</v>
      </c>
      <c r="G38" s="7" t="s">
        <v>244</v>
      </c>
      <c r="H38" s="7" t="s">
        <v>72</v>
      </c>
      <c r="I38" s="17">
        <v>43257</v>
      </c>
      <c r="J38" s="20">
        <v>0</v>
      </c>
      <c r="K38" s="18">
        <f>'[21]FIPE 2016 - 2018'!$G$11</f>
        <v>628912.76</v>
      </c>
      <c r="L38" s="20">
        <v>0</v>
      </c>
      <c r="M38" s="20">
        <v>0</v>
      </c>
      <c r="N38" s="20">
        <v>0</v>
      </c>
      <c r="O38" s="20">
        <v>0</v>
      </c>
      <c r="P38" s="18">
        <f>'[21]FIPE 2016 - 2018'!$G$16</f>
        <v>1048187.94</v>
      </c>
      <c r="Q38" s="18" t="s">
        <v>245</v>
      </c>
      <c r="R38" s="18" t="s">
        <v>245</v>
      </c>
      <c r="S38" s="18">
        <v>628912.76</v>
      </c>
      <c r="T38" s="18">
        <v>0</v>
      </c>
      <c r="U38" s="18">
        <v>628912.76</v>
      </c>
      <c r="V38" s="18">
        <v>0</v>
      </c>
      <c r="W38" s="18">
        <v>0</v>
      </c>
    </row>
    <row r="39" spans="2:23" ht="39.75" customHeight="1" x14ac:dyDescent="0.2">
      <c r="B39" s="16" t="s">
        <v>243</v>
      </c>
      <c r="C39" s="16">
        <v>2017</v>
      </c>
      <c r="D39" s="7" t="s">
        <v>69</v>
      </c>
      <c r="E39" s="7" t="s">
        <v>70</v>
      </c>
      <c r="F39" s="7" t="s">
        <v>71</v>
      </c>
      <c r="G39" s="7"/>
      <c r="H39" s="7" t="s">
        <v>72</v>
      </c>
      <c r="I39" s="17">
        <v>43097</v>
      </c>
      <c r="J39" s="20" t="s">
        <v>245</v>
      </c>
      <c r="K39" s="20" t="s">
        <v>245</v>
      </c>
      <c r="L39" s="20" t="s">
        <v>245</v>
      </c>
      <c r="M39" s="20" t="s">
        <v>245</v>
      </c>
      <c r="N39" s="20">
        <v>0</v>
      </c>
      <c r="O39" s="20">
        <v>0</v>
      </c>
      <c r="P39" s="20" t="s">
        <v>245</v>
      </c>
      <c r="Q39" s="20" t="s">
        <v>245</v>
      </c>
      <c r="R39" s="18">
        <f>'[22]FIPE 010.2017'!$G$13</f>
        <v>200856.6</v>
      </c>
      <c r="S39" s="18">
        <v>0</v>
      </c>
      <c r="T39" s="20">
        <v>0</v>
      </c>
      <c r="U39" s="20">
        <v>0</v>
      </c>
      <c r="V39" s="18">
        <v>0</v>
      </c>
      <c r="W39" s="18">
        <v>0</v>
      </c>
    </row>
    <row r="40" spans="2:23" ht="39.75" customHeight="1" x14ac:dyDescent="0.2">
      <c r="B40" s="16" t="s">
        <v>336</v>
      </c>
      <c r="C40" s="16">
        <v>2017</v>
      </c>
      <c r="D40" s="7" t="s">
        <v>69</v>
      </c>
      <c r="E40" s="7" t="s">
        <v>70</v>
      </c>
      <c r="F40" s="7" t="s">
        <v>71</v>
      </c>
      <c r="G40" s="7"/>
      <c r="H40" s="7"/>
      <c r="I40" s="17">
        <v>43509</v>
      </c>
      <c r="J40" s="20"/>
      <c r="K40" s="20"/>
      <c r="L40" s="20"/>
      <c r="M40" s="20"/>
      <c r="N40" s="20"/>
      <c r="O40" s="20"/>
      <c r="P40" s="20"/>
      <c r="Q40" s="20"/>
      <c r="R40" s="18"/>
      <c r="S40" s="18">
        <v>0</v>
      </c>
      <c r="T40" s="20">
        <v>0</v>
      </c>
      <c r="U40" s="20">
        <v>0</v>
      </c>
      <c r="V40" s="18">
        <v>0</v>
      </c>
      <c r="W40" s="18">
        <v>0</v>
      </c>
    </row>
    <row r="41" spans="2:23" ht="39.75" customHeight="1" x14ac:dyDescent="0.2">
      <c r="B41" s="16" t="s">
        <v>337</v>
      </c>
      <c r="C41" s="16">
        <v>2017</v>
      </c>
      <c r="D41" s="7" t="s">
        <v>69</v>
      </c>
      <c r="E41" s="7" t="s">
        <v>70</v>
      </c>
      <c r="F41" s="7" t="s">
        <v>71</v>
      </c>
      <c r="G41" s="7"/>
      <c r="H41" s="7"/>
      <c r="I41" s="17">
        <v>43629</v>
      </c>
      <c r="J41" s="20"/>
      <c r="K41" s="20"/>
      <c r="L41" s="20"/>
      <c r="M41" s="20"/>
      <c r="N41" s="20"/>
      <c r="O41" s="20"/>
      <c r="P41" s="20"/>
      <c r="Q41" s="20"/>
      <c r="R41" s="18"/>
      <c r="S41" s="18">
        <v>0</v>
      </c>
      <c r="T41" s="20">
        <v>0</v>
      </c>
      <c r="U41" s="20">
        <v>0</v>
      </c>
      <c r="V41" s="18">
        <v>0</v>
      </c>
      <c r="W41" s="18">
        <v>0</v>
      </c>
    </row>
    <row r="42" spans="2:23" ht="39.75" customHeight="1" x14ac:dyDescent="0.2">
      <c r="B42" s="16" t="s">
        <v>281</v>
      </c>
      <c r="C42" s="16">
        <v>2017</v>
      </c>
      <c r="D42" s="7"/>
      <c r="E42" s="7" t="s">
        <v>282</v>
      </c>
      <c r="F42" s="7" t="s">
        <v>283</v>
      </c>
      <c r="G42" s="7"/>
      <c r="H42" s="7"/>
      <c r="I42" s="17"/>
      <c r="J42" s="20" t="s">
        <v>245</v>
      </c>
      <c r="K42" s="20" t="s">
        <v>245</v>
      </c>
      <c r="L42" s="20" t="s">
        <v>245</v>
      </c>
      <c r="M42" s="20" t="s">
        <v>245</v>
      </c>
      <c r="N42" s="20" t="s">
        <v>245</v>
      </c>
      <c r="O42" s="20" t="s">
        <v>245</v>
      </c>
      <c r="P42" s="20" t="s">
        <v>245</v>
      </c>
      <c r="Q42" s="20">
        <v>1512</v>
      </c>
      <c r="R42" s="18" t="s">
        <v>245</v>
      </c>
      <c r="S42" s="20">
        <v>0</v>
      </c>
      <c r="T42" s="18">
        <v>1782</v>
      </c>
      <c r="U42" s="20">
        <v>0</v>
      </c>
      <c r="V42" s="18">
        <v>0</v>
      </c>
      <c r="W42" s="18">
        <v>0</v>
      </c>
    </row>
    <row r="43" spans="2:23" ht="39.75" customHeight="1" x14ac:dyDescent="0.2">
      <c r="B43" s="16" t="s">
        <v>265</v>
      </c>
      <c r="C43" s="16">
        <v>2017</v>
      </c>
      <c r="D43" s="7"/>
      <c r="E43" s="7" t="s">
        <v>266</v>
      </c>
      <c r="F43" s="7" t="s">
        <v>120</v>
      </c>
      <c r="G43" s="7"/>
      <c r="H43" s="7"/>
      <c r="I43" s="17">
        <v>43292</v>
      </c>
      <c r="J43" s="20" t="s">
        <v>245</v>
      </c>
      <c r="K43" s="20" t="s">
        <v>245</v>
      </c>
      <c r="L43" s="20" t="s">
        <v>245</v>
      </c>
      <c r="M43" s="20" t="s">
        <v>245</v>
      </c>
      <c r="N43" s="20" t="s">
        <v>245</v>
      </c>
      <c r="O43" s="20" t="s">
        <v>245</v>
      </c>
      <c r="P43" s="20" t="s">
        <v>245</v>
      </c>
      <c r="Q43" s="20" t="s">
        <v>245</v>
      </c>
      <c r="R43" s="18">
        <f>'[23]2017 - 2018'!$H$6+'[23]2017 - 2018'!$H$7</f>
        <v>26075.8</v>
      </c>
      <c r="S43" s="18">
        <v>15850</v>
      </c>
      <c r="T43" s="18">
        <v>0</v>
      </c>
      <c r="U43" s="18">
        <f>15850+36750</f>
        <v>52600</v>
      </c>
      <c r="V43" s="18">
        <v>0</v>
      </c>
      <c r="W43" s="18">
        <v>15850</v>
      </c>
    </row>
    <row r="44" spans="2:23" ht="39.75" customHeight="1" x14ac:dyDescent="0.2">
      <c r="B44" s="16" t="s">
        <v>280</v>
      </c>
      <c r="C44" s="16">
        <v>2017</v>
      </c>
      <c r="D44" s="7"/>
      <c r="E44" s="7" t="s">
        <v>277</v>
      </c>
      <c r="F44" s="7" t="s">
        <v>267</v>
      </c>
      <c r="G44" s="7"/>
      <c r="H44" s="7"/>
      <c r="I44" s="17" t="s">
        <v>268</v>
      </c>
      <c r="J44" s="20" t="s">
        <v>245</v>
      </c>
      <c r="K44" s="20" t="s">
        <v>245</v>
      </c>
      <c r="L44" s="20" t="s">
        <v>245</v>
      </c>
      <c r="M44" s="20" t="s">
        <v>245</v>
      </c>
      <c r="N44" s="20" t="s">
        <v>245</v>
      </c>
      <c r="O44" s="20" t="s">
        <v>245</v>
      </c>
      <c r="P44" s="20" t="s">
        <v>245</v>
      </c>
      <c r="Q44" s="20" t="s">
        <v>245</v>
      </c>
      <c r="R44" s="18">
        <f>'[24]2017 - 2018'!$H$11</f>
        <v>5056.71</v>
      </c>
      <c r="S44" s="18">
        <v>0</v>
      </c>
      <c r="T44" s="18">
        <f>19190.46</f>
        <v>19190.46</v>
      </c>
      <c r="U44" s="18">
        <f>15514.64+21001.2</f>
        <v>36515.839999999997</v>
      </c>
      <c r="V44" s="18">
        <v>0</v>
      </c>
      <c r="W44" s="18">
        <f>16218.99+20893.19</f>
        <v>37112.18</v>
      </c>
    </row>
    <row r="45" spans="2:23" ht="39.75" customHeight="1" x14ac:dyDescent="0.2">
      <c r="B45" s="16" t="s">
        <v>73</v>
      </c>
      <c r="C45" s="16">
        <v>2016</v>
      </c>
      <c r="D45" s="7" t="s">
        <v>12</v>
      </c>
      <c r="E45" s="7" t="s">
        <v>74</v>
      </c>
      <c r="F45" s="7" t="s">
        <v>75</v>
      </c>
      <c r="G45" s="7" t="s">
        <v>76</v>
      </c>
      <c r="H45" s="7" t="s">
        <v>77</v>
      </c>
      <c r="I45" s="17">
        <v>42928</v>
      </c>
      <c r="J45" s="18">
        <f>'[25]2016 - 2017'!$H$15</f>
        <v>331498.21000000002</v>
      </c>
      <c r="K45" s="18">
        <f>'[25]2016 - 2017'!$H$16</f>
        <v>362376.68</v>
      </c>
      <c r="L45" s="18">
        <f>'[25]2016 - 2017'!$H$17</f>
        <v>385326.78</v>
      </c>
      <c r="M45" s="18">
        <f>'[25]2016 - 2017'!$H$18</f>
        <v>390820.31</v>
      </c>
      <c r="N45" s="18">
        <f>'[25]2016 - 2017'!$H$19</f>
        <v>388709.44</v>
      </c>
      <c r="O45" s="18">
        <f>'[25]2016 - 2017'!$H$20</f>
        <v>392284.85</v>
      </c>
      <c r="P45" s="18">
        <f>424747.36+144868.16</f>
        <v>569615.52</v>
      </c>
      <c r="Q45" s="18">
        <f>93311.87+328541</f>
        <v>421852.87</v>
      </c>
      <c r="R45" s="18">
        <f>'[25]2017-2018'!$H$12</f>
        <v>420932.18</v>
      </c>
      <c r="S45" s="18">
        <f>422907.94</f>
        <v>422907.94</v>
      </c>
      <c r="T45" s="18">
        <f>424747.36</f>
        <v>424747.36</v>
      </c>
      <c r="U45" s="18">
        <f>423552.03</f>
        <v>423552.03</v>
      </c>
      <c r="V45" s="18">
        <f>'[26]2017-2018'!$H$16</f>
        <v>424747.36</v>
      </c>
      <c r="W45" s="18">
        <f>'[26]2017-2018'!$H$17</f>
        <v>424747.36</v>
      </c>
    </row>
    <row r="46" spans="2:23" ht="39.75" customHeight="1" x14ac:dyDescent="0.2">
      <c r="B46" s="25" t="s">
        <v>210</v>
      </c>
      <c r="C46" s="16">
        <v>2017</v>
      </c>
      <c r="D46" s="7" t="s">
        <v>12</v>
      </c>
      <c r="E46" s="7" t="s">
        <v>78</v>
      </c>
      <c r="F46" s="7" t="s">
        <v>79</v>
      </c>
      <c r="G46" s="7"/>
      <c r="H46" s="7" t="s">
        <v>80</v>
      </c>
      <c r="I46" s="17">
        <v>43283</v>
      </c>
      <c r="J46" s="20" t="s">
        <v>245</v>
      </c>
      <c r="K46" s="20" t="s">
        <v>245</v>
      </c>
      <c r="L46" s="20" t="s">
        <v>245</v>
      </c>
      <c r="M46" s="20" t="s">
        <v>245</v>
      </c>
      <c r="N46" s="20" t="s">
        <v>245</v>
      </c>
      <c r="O46" s="20" t="s">
        <v>245</v>
      </c>
      <c r="P46" s="20" t="s">
        <v>245</v>
      </c>
      <c r="Q46" s="20" t="s">
        <v>245</v>
      </c>
      <c r="R46" s="18">
        <f>'[27]3R 2017-2018'!$H$12+'[27]3R 2017-2018'!$H$13</f>
        <v>77333.36</v>
      </c>
      <c r="S46" s="18">
        <v>40000</v>
      </c>
      <c r="T46" s="18">
        <v>40000</v>
      </c>
      <c r="U46" s="18">
        <v>40000</v>
      </c>
      <c r="V46" s="18">
        <v>40000</v>
      </c>
      <c r="W46" s="18">
        <v>20000</v>
      </c>
    </row>
    <row r="47" spans="2:23" ht="39.75" customHeight="1" x14ac:dyDescent="0.2">
      <c r="B47" s="25" t="s">
        <v>324</v>
      </c>
      <c r="C47" s="16">
        <v>2017</v>
      </c>
      <c r="D47" s="7"/>
      <c r="E47" s="7" t="s">
        <v>287</v>
      </c>
      <c r="F47" s="7" t="s">
        <v>288</v>
      </c>
      <c r="G47" s="8"/>
      <c r="H47" s="7"/>
      <c r="I47" s="17">
        <v>43098</v>
      </c>
      <c r="J47" s="20" t="s">
        <v>245</v>
      </c>
      <c r="K47" s="20" t="s">
        <v>245</v>
      </c>
      <c r="L47" s="20" t="s">
        <v>245</v>
      </c>
      <c r="M47" s="20" t="s">
        <v>245</v>
      </c>
      <c r="N47" s="20" t="s">
        <v>245</v>
      </c>
      <c r="O47" s="20" t="s">
        <v>245</v>
      </c>
      <c r="P47" s="20" t="s">
        <v>245</v>
      </c>
      <c r="Q47" s="20" t="s">
        <v>245</v>
      </c>
      <c r="R47" s="18" t="s">
        <v>245</v>
      </c>
      <c r="S47" s="20">
        <v>0</v>
      </c>
      <c r="T47" s="20">
        <v>0</v>
      </c>
      <c r="U47" s="18">
        <v>500000</v>
      </c>
      <c r="V47" s="18">
        <v>0</v>
      </c>
      <c r="W47" s="18">
        <v>0</v>
      </c>
    </row>
    <row r="48" spans="2:23" ht="39.75" customHeight="1" x14ac:dyDescent="0.2">
      <c r="B48" s="25" t="s">
        <v>215</v>
      </c>
      <c r="C48" s="16">
        <v>2017</v>
      </c>
      <c r="D48" s="7"/>
      <c r="E48" s="7" t="s">
        <v>285</v>
      </c>
      <c r="F48" s="7" t="s">
        <v>286</v>
      </c>
      <c r="G48" s="8"/>
      <c r="H48" s="7"/>
      <c r="I48" s="17">
        <v>43273</v>
      </c>
      <c r="J48" s="20" t="s">
        <v>245</v>
      </c>
      <c r="K48" s="20" t="s">
        <v>245</v>
      </c>
      <c r="L48" s="20" t="s">
        <v>245</v>
      </c>
      <c r="M48" s="20" t="s">
        <v>245</v>
      </c>
      <c r="N48" s="20" t="s">
        <v>245</v>
      </c>
      <c r="O48" s="20">
        <v>0</v>
      </c>
      <c r="P48" s="20" t="s">
        <v>245</v>
      </c>
      <c r="Q48" s="20" t="s">
        <v>245</v>
      </c>
      <c r="R48" s="18">
        <f>'[28]5 Estrelas 2017-2018'!$H$12</f>
        <v>8503.4</v>
      </c>
      <c r="S48" s="18">
        <v>0</v>
      </c>
      <c r="T48" s="18">
        <v>14300</v>
      </c>
      <c r="U48" s="20">
        <v>0</v>
      </c>
      <c r="V48" s="18">
        <v>0</v>
      </c>
      <c r="W48" s="18">
        <v>0</v>
      </c>
    </row>
    <row r="49" spans="2:23" ht="39.75" customHeight="1" x14ac:dyDescent="0.2">
      <c r="B49" s="16" t="s">
        <v>81</v>
      </c>
      <c r="C49" s="16">
        <v>2016</v>
      </c>
      <c r="D49" s="7" t="s">
        <v>12</v>
      </c>
      <c r="E49" s="7" t="s">
        <v>82</v>
      </c>
      <c r="F49" s="7" t="s">
        <v>83</v>
      </c>
      <c r="G49" s="7" t="s">
        <v>84</v>
      </c>
      <c r="H49" s="7" t="s">
        <v>85</v>
      </c>
      <c r="I49" s="17">
        <v>42895</v>
      </c>
      <c r="J49" s="18">
        <v>17083.3</v>
      </c>
      <c r="K49" s="18">
        <f>'[29]2016-2017'!$H$18</f>
        <v>17083.3</v>
      </c>
      <c r="L49" s="18">
        <f>'[29]2016-2017'!$H$19</f>
        <v>17083.3</v>
      </c>
      <c r="M49" s="18">
        <f>'[29]2016-2017'!$H$20</f>
        <v>17083.3</v>
      </c>
      <c r="N49" s="18">
        <f>'[29]2016-2017'!$H$21</f>
        <v>16513.86</v>
      </c>
      <c r="O49" s="18">
        <f>'[29]2016-2017'!$H$22</f>
        <v>17083.3</v>
      </c>
      <c r="P49" s="18">
        <f>'[29]2016-2017'!$H$23+'[29]2017-2018'!$H$11</f>
        <v>25161.1</v>
      </c>
      <c r="Q49" s="18">
        <f>18429.6</f>
        <v>18429.599999999999</v>
      </c>
      <c r="R49" s="18">
        <f>'[29]2017-2018'!$H$13</f>
        <v>18429.599999999999</v>
      </c>
      <c r="S49" s="18">
        <v>0</v>
      </c>
      <c r="T49" s="18">
        <f>5419.6+18429.6</f>
        <v>23849.199999999997</v>
      </c>
      <c r="U49" s="18">
        <f>18429.6</f>
        <v>18429.599999999999</v>
      </c>
      <c r="V49" s="18">
        <f>'[30]2017-2018'!$H$17</f>
        <v>18878.099999999999</v>
      </c>
      <c r="W49" s="18">
        <f>'[30]2017-2018'!$H$18</f>
        <v>18878.099999999999</v>
      </c>
    </row>
    <row r="50" spans="2:23" ht="39.75" customHeight="1" x14ac:dyDescent="0.2">
      <c r="B50" s="16" t="s">
        <v>86</v>
      </c>
      <c r="C50" s="16">
        <v>2014</v>
      </c>
      <c r="D50" s="7" t="s">
        <v>43</v>
      </c>
      <c r="E50" s="7" t="s">
        <v>87</v>
      </c>
      <c r="F50" s="7" t="s">
        <v>88</v>
      </c>
      <c r="G50" s="7" t="s">
        <v>89</v>
      </c>
      <c r="H50" s="7" t="s">
        <v>90</v>
      </c>
      <c r="I50" s="17">
        <v>42943</v>
      </c>
      <c r="J50" s="18">
        <v>500</v>
      </c>
      <c r="K50" s="18">
        <v>500</v>
      </c>
      <c r="L50" s="18">
        <v>500</v>
      </c>
      <c r="M50" s="18">
        <v>1000</v>
      </c>
      <c r="N50" s="18">
        <v>500</v>
      </c>
      <c r="O50" s="18">
        <v>500</v>
      </c>
      <c r="P50" s="18">
        <v>500</v>
      </c>
      <c r="Q50" s="18">
        <v>500</v>
      </c>
      <c r="R50" s="18">
        <f>'[31]SERPRO CPF-CNPF 2017-2018'!$H$13</f>
        <v>544.22</v>
      </c>
      <c r="S50" s="18">
        <v>544.22</v>
      </c>
      <c r="T50" s="18">
        <v>544.22</v>
      </c>
      <c r="U50" s="18">
        <v>544.22</v>
      </c>
      <c r="V50" s="18">
        <v>0</v>
      </c>
      <c r="W50" s="18">
        <v>0</v>
      </c>
    </row>
    <row r="51" spans="2:23" ht="39.75" customHeight="1" x14ac:dyDescent="0.2">
      <c r="B51" s="16" t="s">
        <v>91</v>
      </c>
      <c r="C51" s="16">
        <v>2014</v>
      </c>
      <c r="D51" s="7" t="s">
        <v>43</v>
      </c>
      <c r="E51" s="7" t="s">
        <v>92</v>
      </c>
      <c r="F51" s="7" t="s">
        <v>88</v>
      </c>
      <c r="G51" s="7" t="s">
        <v>93</v>
      </c>
      <c r="H51" s="7" t="s">
        <v>94</v>
      </c>
      <c r="I51" s="17">
        <v>42968</v>
      </c>
      <c r="J51" s="18">
        <f>'[32]INFOVIA 2016 2017'!$H$11+'[32]INFOVIA 2016 2017'!$H$12+'[32]INFOVIA 2016 2017'!$H$13</f>
        <v>104400</v>
      </c>
      <c r="K51" s="18">
        <f>'[32]INFOVIA 2016 2017'!$H$14</f>
        <v>34800</v>
      </c>
      <c r="L51" s="18">
        <v>34800</v>
      </c>
      <c r="M51" s="18">
        <f>'[32]INFOVIA 2016 2017'!$H$16</f>
        <v>34800</v>
      </c>
      <c r="N51" s="18">
        <f>'[32]INFOVIA 2016 2017'!$H$17</f>
        <v>34800</v>
      </c>
      <c r="O51" s="18">
        <f>'[32]INFOVIA 2016 2017'!$H$18</f>
        <v>34800</v>
      </c>
      <c r="P51" s="18">
        <f>'[32]INFOVIA 2016 2017'!$H$19+'[32]INFOVIA 2016 2017'!$H$20</f>
        <v>82914.880000000005</v>
      </c>
      <c r="Q51" s="18">
        <f>92065.8</f>
        <v>92065.8</v>
      </c>
      <c r="R51" s="18">
        <f>'[32]INFOVIA 2016 2017'!$H$23+'[32]INFOVIA 2017 2018'!$H$10</f>
        <v>41457.439999999995</v>
      </c>
      <c r="S51" s="18">
        <v>32375.200000000001</v>
      </c>
      <c r="T51" s="18">
        <v>32375.200000000001</v>
      </c>
      <c r="U51" s="18">
        <v>32375.200000000001</v>
      </c>
      <c r="V51" s="18">
        <f>'[33]INFOVIA 2017 2018'!$H$14</f>
        <v>32375.200000000001</v>
      </c>
      <c r="W51" s="18">
        <f>'[33]INFOVIA 2017 2018'!$H$15</f>
        <v>29775.200000000001</v>
      </c>
    </row>
    <row r="52" spans="2:23" ht="39.75" customHeight="1" x14ac:dyDescent="0.2">
      <c r="B52" s="16" t="s">
        <v>95</v>
      </c>
      <c r="C52" s="16">
        <v>2014</v>
      </c>
      <c r="D52" s="7" t="s">
        <v>54</v>
      </c>
      <c r="E52" s="8" t="s">
        <v>323</v>
      </c>
      <c r="F52" s="7" t="s">
        <v>96</v>
      </c>
      <c r="G52" s="7"/>
      <c r="H52" s="7" t="s">
        <v>97</v>
      </c>
      <c r="I52" s="17">
        <v>43055</v>
      </c>
      <c r="J52" s="20">
        <v>0</v>
      </c>
      <c r="K52" s="18">
        <f>'[34]CLARO 2016 2017'!$H$8+'[34]CLARO 2016 2017'!$H$9</f>
        <v>29164.27</v>
      </c>
      <c r="L52" s="20">
        <v>0</v>
      </c>
      <c r="M52" s="18">
        <f>'[34]CLARO 2016 2017'!$H$10+'[34]CLARO 2016 2017'!$H$11</f>
        <v>30958.059999999998</v>
      </c>
      <c r="N52" s="18">
        <f>'[34]CLARO 2016 2017'!$H$12</f>
        <v>15009.41</v>
      </c>
      <c r="O52" s="20">
        <v>0</v>
      </c>
      <c r="P52" s="18">
        <f>'[34]CLARO 2016 2017'!$H$13+'[34]CLARO 2016 2017'!$H$14</f>
        <v>30632.78</v>
      </c>
      <c r="Q52" s="18">
        <f>14367.53</f>
        <v>14367.53</v>
      </c>
      <c r="R52" s="18">
        <f>'[34]CLARO 2016 2017'!$H$16</f>
        <v>14903.41</v>
      </c>
      <c r="S52" s="18">
        <v>12782.34</v>
      </c>
      <c r="T52" s="18">
        <v>15579.07</v>
      </c>
      <c r="U52" s="18">
        <v>25258.07</v>
      </c>
      <c r="V52" s="18">
        <f>'[35]CLARO 2016 2017'!$H$20</f>
        <v>27007.24</v>
      </c>
      <c r="W52" s="18">
        <v>0</v>
      </c>
    </row>
    <row r="53" spans="2:23" ht="39.75" customHeight="1" x14ac:dyDescent="0.2">
      <c r="B53" s="16" t="s">
        <v>98</v>
      </c>
      <c r="C53" s="16">
        <v>2013</v>
      </c>
      <c r="D53" s="7" t="s">
        <v>12</v>
      </c>
      <c r="E53" s="7" t="s">
        <v>289</v>
      </c>
      <c r="F53" s="7" t="s">
        <v>99</v>
      </c>
      <c r="G53" s="7" t="s">
        <v>100</v>
      </c>
      <c r="H53" s="7" t="s">
        <v>101</v>
      </c>
      <c r="I53" s="17">
        <v>43099</v>
      </c>
      <c r="J53" s="18">
        <f>'[36]2016'!$H$18+'[36]2016'!$H$19</f>
        <v>17465.060000000001</v>
      </c>
      <c r="K53" s="18">
        <f>'[36]2016'!$H$20+'[36]2017'!$H$9</f>
        <v>17748.260000000002</v>
      </c>
      <c r="L53" s="18">
        <v>9259.16</v>
      </c>
      <c r="M53" s="18">
        <f>'[36]2017'!$H$11</f>
        <v>15717</v>
      </c>
      <c r="N53" s="20">
        <v>0</v>
      </c>
      <c r="O53" s="18">
        <f>'[36]2017'!$H$12+'[36]2017'!$H$13</f>
        <v>21705.279999999999</v>
      </c>
      <c r="P53" s="20" t="s">
        <v>245</v>
      </c>
      <c r="Q53" s="20">
        <f>10241.94+10155.53</f>
        <v>20397.47</v>
      </c>
      <c r="R53" s="18">
        <f>'[36]2017'!$H$16</f>
        <v>10214.130000000001</v>
      </c>
      <c r="S53" s="18">
        <v>13008.57</v>
      </c>
      <c r="T53" s="18">
        <f>18627.05</f>
        <v>18627.05</v>
      </c>
      <c r="U53" s="18">
        <f>19989.69</f>
        <v>19989.689999999999</v>
      </c>
      <c r="V53" s="18">
        <f>'[37]2017'!$H$20</f>
        <v>16758.330000000002</v>
      </c>
      <c r="W53" s="18">
        <f>'[37]2018'!$H$9</f>
        <v>15876.99</v>
      </c>
    </row>
    <row r="54" spans="2:23" ht="39.75" customHeight="1" x14ac:dyDescent="0.2">
      <c r="B54" s="16" t="s">
        <v>102</v>
      </c>
      <c r="C54" s="16">
        <v>2013</v>
      </c>
      <c r="D54" s="7" t="s">
        <v>12</v>
      </c>
      <c r="E54" s="7" t="s">
        <v>290</v>
      </c>
      <c r="F54" s="7" t="s">
        <v>99</v>
      </c>
      <c r="G54" s="7" t="s">
        <v>100</v>
      </c>
      <c r="H54" s="7" t="s">
        <v>103</v>
      </c>
      <c r="I54" s="17">
        <v>43099</v>
      </c>
      <c r="J54" s="18">
        <f>'[38]2016'!$H$21</f>
        <v>2367.6</v>
      </c>
      <c r="K54" s="18">
        <f>'[38]2017'!$H$10</f>
        <v>1317.23</v>
      </c>
      <c r="L54" s="18">
        <f>'[38]2017'!$H$11</f>
        <v>1565.39</v>
      </c>
      <c r="M54" s="18">
        <f>'[38]2017'!$H$12</f>
        <v>1735.26</v>
      </c>
      <c r="N54" s="18">
        <v>0</v>
      </c>
      <c r="O54" s="18">
        <f>'[38]2017'!$H$14</f>
        <v>1435.38</v>
      </c>
      <c r="P54" s="18">
        <f>'[38]2017'!$H$15</f>
        <v>1362.97</v>
      </c>
      <c r="Q54" s="18">
        <v>1275.22</v>
      </c>
      <c r="R54" s="18">
        <f>'[38]2017'!$H$17</f>
        <v>1941.52</v>
      </c>
      <c r="S54" s="18">
        <f>2127.23</f>
        <v>2127.23</v>
      </c>
      <c r="T54" s="18">
        <f>2090.94</f>
        <v>2090.94</v>
      </c>
      <c r="U54" s="18">
        <f>1619.66</f>
        <v>1619.66</v>
      </c>
      <c r="V54" s="18">
        <f>'[39]2017'!$H$21</f>
        <v>1521.99</v>
      </c>
      <c r="W54" s="18">
        <f>'[39]2018'!$H$10</f>
        <v>1712.11</v>
      </c>
    </row>
    <row r="55" spans="2:23" ht="39.75" customHeight="1" x14ac:dyDescent="0.2">
      <c r="B55" s="16" t="s">
        <v>104</v>
      </c>
      <c r="C55" s="16">
        <v>2014</v>
      </c>
      <c r="D55" s="7" t="s">
        <v>69</v>
      </c>
      <c r="E55" s="7" t="s">
        <v>105</v>
      </c>
      <c r="F55" s="7" t="s">
        <v>106</v>
      </c>
      <c r="G55" s="7" t="s">
        <v>107</v>
      </c>
      <c r="H55" s="7" t="s">
        <v>108</v>
      </c>
      <c r="I55" s="17">
        <v>43114</v>
      </c>
      <c r="J55" s="18">
        <f>'[40]2016'!$H$17+'[40]2016'!$I$17</f>
        <v>190248.18000000002</v>
      </c>
      <c r="K55" s="18">
        <f>'[40]2017'!$H$6+'[40]2017'!$I$6</f>
        <v>190529.48</v>
      </c>
      <c r="L55" s="18">
        <v>0</v>
      </c>
      <c r="M55" s="18">
        <v>0</v>
      </c>
      <c r="N55" s="18">
        <v>0</v>
      </c>
      <c r="O55" s="18">
        <v>816692.49</v>
      </c>
      <c r="P55" s="18">
        <f>163796.93+37826.38+9320.52+5860.29</f>
        <v>216804.12</v>
      </c>
      <c r="Q55" s="18">
        <f>163796.93+38379.84+9320.52</f>
        <v>211497.28999999998</v>
      </c>
      <c r="R55" s="18">
        <f>'[40]2017'!$H$13+'[40]2017'!$I$13+'[40]2017'!$J$14</f>
        <v>211369.11</v>
      </c>
      <c r="S55" s="18">
        <f>163796.93+41017.46+9320.52</f>
        <v>214134.90999999997</v>
      </c>
      <c r="T55" s="18">
        <f>163796.93+39782.68+9320.52</f>
        <v>212900.12999999998</v>
      </c>
      <c r="U55" s="20">
        <f>947352.1</f>
        <v>947352.1</v>
      </c>
      <c r="V55" s="18"/>
      <c r="W55" s="18"/>
    </row>
    <row r="56" spans="2:23" ht="39.75" customHeight="1" x14ac:dyDescent="0.2">
      <c r="B56" s="16" t="s">
        <v>109</v>
      </c>
      <c r="C56" s="16">
        <v>2016</v>
      </c>
      <c r="D56" s="7" t="s">
        <v>69</v>
      </c>
      <c r="E56" s="7" t="s">
        <v>110</v>
      </c>
      <c r="F56" s="7" t="s">
        <v>111</v>
      </c>
      <c r="G56" s="7" t="s">
        <v>112</v>
      </c>
      <c r="H56" s="7" t="s">
        <v>113</v>
      </c>
      <c r="I56" s="17" t="s">
        <v>291</v>
      </c>
      <c r="J56" s="18">
        <f>20189.04</f>
        <v>20189.04</v>
      </c>
      <c r="K56" s="18">
        <f>20326.39</f>
        <v>20326.39</v>
      </c>
      <c r="L56" s="18">
        <f>21250.5</f>
        <v>21250.5</v>
      </c>
      <c r="M56" s="18">
        <f>17863.26</f>
        <v>17863.259999999998</v>
      </c>
      <c r="N56" s="18">
        <f>16362.94</f>
        <v>16362.94</v>
      </c>
      <c r="O56" s="18">
        <f>16091.52</f>
        <v>16091.52</v>
      </c>
      <c r="P56" s="18">
        <v>13005</v>
      </c>
      <c r="Q56" s="18">
        <v>13000.05</v>
      </c>
      <c r="R56" s="18">
        <f>13786.62</f>
        <v>13786.62</v>
      </c>
      <c r="S56" s="18">
        <f>16431.46</f>
        <v>16431.46</v>
      </c>
      <c r="T56" s="18">
        <f>14330.62</f>
        <v>14330.62</v>
      </c>
      <c r="U56" s="18">
        <f>12005.25</f>
        <v>12005.25</v>
      </c>
      <c r="V56" s="18">
        <f>'[41]CEB 2017 - 2018'!$H$16</f>
        <v>20095.79</v>
      </c>
      <c r="W56" s="18">
        <v>0</v>
      </c>
    </row>
    <row r="57" spans="2:23" ht="39.75" customHeight="1" x14ac:dyDescent="0.2">
      <c r="B57" s="27">
        <v>32018</v>
      </c>
      <c r="C57" s="16">
        <v>2018</v>
      </c>
      <c r="D57" s="7"/>
      <c r="E57" s="7" t="s">
        <v>110</v>
      </c>
      <c r="F57" s="7" t="s">
        <v>111</v>
      </c>
      <c r="G57" s="7"/>
      <c r="H57" s="7"/>
      <c r="I57" s="17" t="s">
        <v>291</v>
      </c>
      <c r="J57" s="18"/>
      <c r="K57" s="18"/>
      <c r="L57" s="18"/>
      <c r="M57" s="18"/>
      <c r="N57" s="18"/>
      <c r="O57" s="18"/>
      <c r="P57" s="18"/>
      <c r="Q57" s="18"/>
      <c r="R57" s="18"/>
      <c r="S57" s="18">
        <v>0</v>
      </c>
      <c r="T57" s="18">
        <v>0</v>
      </c>
      <c r="U57" s="18">
        <v>0</v>
      </c>
      <c r="V57" s="18">
        <v>0</v>
      </c>
      <c r="W57" s="18">
        <v>0</v>
      </c>
    </row>
    <row r="58" spans="2:23" ht="39.75" customHeight="1" x14ac:dyDescent="0.2">
      <c r="B58" s="16" t="s">
        <v>114</v>
      </c>
      <c r="C58" s="16">
        <v>2013</v>
      </c>
      <c r="D58" s="7" t="s">
        <v>54</v>
      </c>
      <c r="E58" s="7" t="s">
        <v>115</v>
      </c>
      <c r="F58" s="7" t="s">
        <v>116</v>
      </c>
      <c r="G58" s="7" t="s">
        <v>10</v>
      </c>
      <c r="H58" s="7" t="s">
        <v>117</v>
      </c>
      <c r="I58" s="17">
        <v>43152</v>
      </c>
      <c r="J58" s="18" t="s">
        <v>245</v>
      </c>
      <c r="K58" s="18">
        <v>0</v>
      </c>
      <c r="L58" s="18">
        <v>0</v>
      </c>
      <c r="M58" s="18">
        <v>0</v>
      </c>
      <c r="N58" s="18">
        <v>0</v>
      </c>
      <c r="O58" s="18">
        <v>0</v>
      </c>
      <c r="P58" s="18" t="s">
        <v>245</v>
      </c>
      <c r="Q58" s="18">
        <f>11507.15</f>
        <v>11507.15</v>
      </c>
      <c r="R58" s="18">
        <f>'[42]2017 A 2018'!$H$18</f>
        <v>53080</v>
      </c>
      <c r="S58" s="18">
        <v>0</v>
      </c>
      <c r="T58" s="18">
        <f>130526.25</f>
        <v>130526.25</v>
      </c>
      <c r="U58" s="20">
        <v>0</v>
      </c>
      <c r="V58" s="18">
        <f>'[43]2017 A 2018'!$H$21</f>
        <v>32459.200000000001</v>
      </c>
      <c r="W58" s="18">
        <v>0</v>
      </c>
    </row>
    <row r="59" spans="2:23" ht="39.75" customHeight="1" x14ac:dyDescent="0.2">
      <c r="B59" s="16" t="s">
        <v>118</v>
      </c>
      <c r="C59" s="16">
        <v>2016</v>
      </c>
      <c r="D59" s="7" t="s">
        <v>12</v>
      </c>
      <c r="E59" s="7" t="s">
        <v>119</v>
      </c>
      <c r="F59" s="7" t="s">
        <v>120</v>
      </c>
      <c r="G59" s="7" t="s">
        <v>121</v>
      </c>
      <c r="H59" s="7" t="s">
        <v>122</v>
      </c>
      <c r="I59" s="17">
        <v>43039</v>
      </c>
      <c r="J59" s="18">
        <v>0</v>
      </c>
      <c r="K59" s="18">
        <f>'[44]2016 - 2017'!$H$9</f>
        <v>13739.42</v>
      </c>
      <c r="L59" s="18">
        <v>0</v>
      </c>
      <c r="M59" s="18">
        <v>0</v>
      </c>
      <c r="N59" s="18">
        <f>12586.06</f>
        <v>12586.06</v>
      </c>
      <c r="O59" s="18">
        <f>'[44]2016 - 2017'!$H$12</f>
        <v>6255.53</v>
      </c>
      <c r="P59" s="18">
        <f>'[44]2016 - 2017'!$H$13</f>
        <v>13941.13</v>
      </c>
      <c r="Q59" s="18">
        <f>8732.92</f>
        <v>8732.92</v>
      </c>
      <c r="R59" s="18">
        <v>8081.25</v>
      </c>
      <c r="S59" s="18">
        <f>23324.04+7459.31</f>
        <v>30783.350000000002</v>
      </c>
      <c r="T59" s="18">
        <v>0</v>
      </c>
      <c r="U59" s="18">
        <f>9232.02+8580.34</f>
        <v>17812.36</v>
      </c>
      <c r="V59" s="18">
        <v>0</v>
      </c>
      <c r="W59" s="18">
        <v>0</v>
      </c>
    </row>
    <row r="60" spans="2:23" ht="39.75" customHeight="1" x14ac:dyDescent="0.2">
      <c r="B60" s="16" t="s">
        <v>246</v>
      </c>
      <c r="C60" s="16">
        <v>2017</v>
      </c>
      <c r="D60" s="7"/>
      <c r="E60" s="7" t="s">
        <v>247</v>
      </c>
      <c r="F60" s="7" t="s">
        <v>248</v>
      </c>
      <c r="G60" s="7"/>
      <c r="H60" s="7"/>
      <c r="I60" s="17">
        <v>42946</v>
      </c>
      <c r="J60" s="18" t="s">
        <v>245</v>
      </c>
      <c r="K60" s="18" t="s">
        <v>245</v>
      </c>
      <c r="L60" s="18" t="s">
        <v>245</v>
      </c>
      <c r="M60" s="18" t="s">
        <v>245</v>
      </c>
      <c r="N60" s="18" t="s">
        <v>245</v>
      </c>
      <c r="O60" s="18" t="s">
        <v>245</v>
      </c>
      <c r="P60" s="18" t="s">
        <v>245</v>
      </c>
      <c r="Q60" s="18" t="s">
        <v>245</v>
      </c>
      <c r="R60" s="18">
        <f>'[45]2017 - 2018'!$H$10</f>
        <v>795.24</v>
      </c>
      <c r="S60" s="18">
        <v>0</v>
      </c>
      <c r="T60" s="18">
        <f>812.16+829.08</f>
        <v>1641.24</v>
      </c>
      <c r="U60" s="18">
        <v>778.32</v>
      </c>
      <c r="V60" s="18">
        <f>'[46]2017 - 2018'!$H$14</f>
        <v>710.64</v>
      </c>
      <c r="W60" s="18"/>
    </row>
    <row r="61" spans="2:23" ht="39.75" customHeight="1" x14ac:dyDescent="0.2">
      <c r="B61" s="16" t="s">
        <v>187</v>
      </c>
      <c r="C61" s="16">
        <v>2017</v>
      </c>
      <c r="D61" s="7"/>
      <c r="E61" s="7" t="s">
        <v>250</v>
      </c>
      <c r="F61" s="7" t="s">
        <v>249</v>
      </c>
      <c r="G61" s="7"/>
      <c r="H61" s="7"/>
      <c r="I61" s="17">
        <v>43293</v>
      </c>
      <c r="J61" s="18" t="s">
        <v>245</v>
      </c>
      <c r="K61" s="18" t="s">
        <v>245</v>
      </c>
      <c r="L61" s="18" t="s">
        <v>245</v>
      </c>
      <c r="M61" s="18" t="s">
        <v>245</v>
      </c>
      <c r="N61" s="18" t="s">
        <v>245</v>
      </c>
      <c r="O61" s="18" t="s">
        <v>245</v>
      </c>
      <c r="P61" s="18" t="s">
        <v>245</v>
      </c>
      <c r="Q61" s="18" t="s">
        <v>245</v>
      </c>
      <c r="R61" s="18" t="s">
        <v>245</v>
      </c>
      <c r="S61" s="18">
        <v>0</v>
      </c>
      <c r="T61" s="20">
        <v>0</v>
      </c>
      <c r="U61" s="18">
        <f>323489</f>
        <v>323489</v>
      </c>
      <c r="V61" s="18">
        <v>0</v>
      </c>
      <c r="W61" s="18">
        <v>0</v>
      </c>
    </row>
    <row r="62" spans="2:23" ht="39.75" customHeight="1" x14ac:dyDescent="0.2">
      <c r="B62" s="16" t="s">
        <v>269</v>
      </c>
      <c r="C62" s="16">
        <v>2017</v>
      </c>
      <c r="D62" s="7"/>
      <c r="E62" s="7" t="s">
        <v>270</v>
      </c>
      <c r="F62" s="7" t="s">
        <v>271</v>
      </c>
      <c r="G62" s="7" t="s">
        <v>272</v>
      </c>
      <c r="H62" s="7"/>
      <c r="I62" s="17">
        <v>43266</v>
      </c>
      <c r="J62" s="18" t="s">
        <v>245</v>
      </c>
      <c r="K62" s="18" t="s">
        <v>245</v>
      </c>
      <c r="L62" s="18" t="s">
        <v>245</v>
      </c>
      <c r="M62" s="18" t="s">
        <v>245</v>
      </c>
      <c r="N62" s="18" t="s">
        <v>245</v>
      </c>
      <c r="O62" s="18">
        <v>0</v>
      </c>
      <c r="P62" s="18" t="s">
        <v>245</v>
      </c>
      <c r="Q62" s="18">
        <f>'[47]PRYSMA 2017-2018'!$G$12+'[47]PRYSMA 2017-2018'!$G$13</f>
        <v>56250</v>
      </c>
      <c r="R62" s="18">
        <f>'[47]PRYSMA 2017-2018'!$G$14</f>
        <v>1875</v>
      </c>
      <c r="S62" s="18">
        <v>1875</v>
      </c>
      <c r="T62" s="18">
        <v>0</v>
      </c>
      <c r="U62" s="18">
        <f>1875+1875</f>
        <v>3750</v>
      </c>
      <c r="V62" s="18">
        <v>1875</v>
      </c>
      <c r="W62" s="18">
        <v>1875</v>
      </c>
    </row>
    <row r="63" spans="2:23" ht="39.75" customHeight="1" x14ac:dyDescent="0.2">
      <c r="B63" s="16" t="s">
        <v>123</v>
      </c>
      <c r="C63" s="16">
        <v>2016</v>
      </c>
      <c r="D63" s="7" t="s">
        <v>12</v>
      </c>
      <c r="E63" s="7" t="s">
        <v>124</v>
      </c>
      <c r="F63" s="7" t="s">
        <v>125</v>
      </c>
      <c r="G63" s="7"/>
      <c r="H63" s="7" t="s">
        <v>126</v>
      </c>
      <c r="I63" s="17">
        <v>43039</v>
      </c>
      <c r="J63" s="18">
        <v>0</v>
      </c>
      <c r="K63" s="18">
        <f>'[48]2016 - 2017'!$G$11</f>
        <v>17691.2</v>
      </c>
      <c r="L63" s="18">
        <v>0</v>
      </c>
      <c r="M63" s="18">
        <v>0</v>
      </c>
      <c r="N63" s="18">
        <f>'[48]2016 - 2017'!$G$12+'[48]2016 - 2017'!$G$17</f>
        <v>23622.639999999999</v>
      </c>
      <c r="O63" s="18">
        <v>0</v>
      </c>
      <c r="P63" s="18">
        <f>'[48]2016 - 2017'!$G$18</f>
        <v>4658.51</v>
      </c>
      <c r="Q63" s="18" t="s">
        <v>245</v>
      </c>
      <c r="R63" s="18" t="s">
        <v>245</v>
      </c>
      <c r="S63" s="18">
        <f>6838.41</f>
        <v>6838.41</v>
      </c>
      <c r="T63" s="20">
        <v>0</v>
      </c>
      <c r="U63" s="20">
        <v>0</v>
      </c>
      <c r="V63" s="18">
        <v>0</v>
      </c>
      <c r="W63" s="18">
        <v>0</v>
      </c>
    </row>
    <row r="64" spans="2:23" ht="39.75" customHeight="1" x14ac:dyDescent="0.2">
      <c r="B64" s="16" t="s">
        <v>127</v>
      </c>
      <c r="C64" s="16">
        <v>2013</v>
      </c>
      <c r="D64" s="7" t="s">
        <v>43</v>
      </c>
      <c r="E64" s="7" t="s">
        <v>292</v>
      </c>
      <c r="F64" s="7" t="s">
        <v>128</v>
      </c>
      <c r="G64" s="7" t="s">
        <v>129</v>
      </c>
      <c r="H64" s="7" t="s">
        <v>130</v>
      </c>
      <c r="I64" s="17">
        <v>42883</v>
      </c>
      <c r="J64" s="18" t="s">
        <v>245</v>
      </c>
      <c r="K64" s="18" t="s">
        <v>245</v>
      </c>
      <c r="L64" s="18" t="s">
        <v>245</v>
      </c>
      <c r="M64" s="18" t="s">
        <v>245</v>
      </c>
      <c r="N64" s="18" t="s">
        <v>245</v>
      </c>
      <c r="O64" s="18" t="s">
        <v>245</v>
      </c>
      <c r="P64" s="18" t="s">
        <v>245</v>
      </c>
      <c r="Q64" s="18" t="s">
        <v>245</v>
      </c>
      <c r="R64" s="18" t="s">
        <v>245</v>
      </c>
      <c r="S64" s="18">
        <v>0</v>
      </c>
      <c r="T64" s="20">
        <v>0</v>
      </c>
      <c r="U64" s="20">
        <v>0</v>
      </c>
      <c r="V64" s="18">
        <v>0</v>
      </c>
      <c r="W64" s="18">
        <v>0</v>
      </c>
    </row>
    <row r="65" spans="2:23" ht="39.75" customHeight="1" x14ac:dyDescent="0.2">
      <c r="B65" s="16" t="s">
        <v>152</v>
      </c>
      <c r="C65" s="16">
        <v>2015</v>
      </c>
      <c r="D65" s="7" t="s">
        <v>43</v>
      </c>
      <c r="E65" s="7" t="s">
        <v>293</v>
      </c>
      <c r="F65" s="7" t="s">
        <v>128</v>
      </c>
      <c r="G65" s="7" t="s">
        <v>129</v>
      </c>
      <c r="H65" s="7" t="s">
        <v>153</v>
      </c>
      <c r="I65" s="17">
        <v>42806</v>
      </c>
      <c r="J65" s="18" t="s">
        <v>245</v>
      </c>
      <c r="K65" s="18" t="s">
        <v>245</v>
      </c>
      <c r="L65" s="18" t="s">
        <v>245</v>
      </c>
      <c r="M65" s="18" t="s">
        <v>245</v>
      </c>
      <c r="N65" s="18" t="s">
        <v>245</v>
      </c>
      <c r="O65" s="18" t="s">
        <v>245</v>
      </c>
      <c r="P65" s="18" t="s">
        <v>245</v>
      </c>
      <c r="Q65" s="18" t="s">
        <v>245</v>
      </c>
      <c r="R65" s="18" t="s">
        <v>245</v>
      </c>
      <c r="S65" s="18">
        <v>0</v>
      </c>
      <c r="T65" s="20">
        <v>0</v>
      </c>
      <c r="U65" s="20">
        <v>0</v>
      </c>
      <c r="V65" s="18">
        <v>0</v>
      </c>
      <c r="W65" s="18">
        <v>0</v>
      </c>
    </row>
    <row r="66" spans="2:23" ht="39.75" customHeight="1" x14ac:dyDescent="0.2">
      <c r="B66" s="16" t="s">
        <v>131</v>
      </c>
      <c r="C66" s="16">
        <v>2015</v>
      </c>
      <c r="D66" s="7" t="s">
        <v>12</v>
      </c>
      <c r="E66" s="7" t="s">
        <v>132</v>
      </c>
      <c r="F66" s="7" t="s">
        <v>133</v>
      </c>
      <c r="G66" s="7" t="s">
        <v>134</v>
      </c>
      <c r="H66" s="7" t="s">
        <v>135</v>
      </c>
      <c r="I66" s="17" t="s">
        <v>136</v>
      </c>
      <c r="J66" s="18" t="s">
        <v>245</v>
      </c>
      <c r="K66" s="18">
        <v>215634</v>
      </c>
      <c r="L66" s="18" t="s">
        <v>245</v>
      </c>
      <c r="M66" s="18" t="s">
        <v>245</v>
      </c>
      <c r="N66" s="18" t="s">
        <v>245</v>
      </c>
      <c r="O66" s="18" t="s">
        <v>245</v>
      </c>
      <c r="P66" s="18" t="s">
        <v>245</v>
      </c>
      <c r="Q66" s="18" t="s">
        <v>245</v>
      </c>
      <c r="R66" s="18" t="s">
        <v>245</v>
      </c>
      <c r="S66" s="18">
        <v>0</v>
      </c>
      <c r="T66" s="20">
        <v>0</v>
      </c>
      <c r="U66" s="20">
        <v>0</v>
      </c>
      <c r="V66" s="18">
        <v>0</v>
      </c>
      <c r="W66" s="18">
        <v>0</v>
      </c>
    </row>
    <row r="67" spans="2:23" ht="39.75" customHeight="1" x14ac:dyDescent="0.2">
      <c r="B67" s="16" t="s">
        <v>137</v>
      </c>
      <c r="C67" s="16">
        <v>2016</v>
      </c>
      <c r="D67" s="7" t="s">
        <v>12</v>
      </c>
      <c r="E67" s="7" t="s">
        <v>138</v>
      </c>
      <c r="F67" s="7" t="s">
        <v>139</v>
      </c>
      <c r="G67" s="7" t="s">
        <v>140</v>
      </c>
      <c r="H67" s="7" t="s">
        <v>141</v>
      </c>
      <c r="I67" s="17">
        <v>43084</v>
      </c>
      <c r="J67" s="18" t="s">
        <v>245</v>
      </c>
      <c r="K67" s="18" t="s">
        <v>245</v>
      </c>
      <c r="L67" s="18" t="s">
        <v>245</v>
      </c>
      <c r="M67" s="18" t="s">
        <v>245</v>
      </c>
      <c r="N67" s="18" t="s">
        <v>245</v>
      </c>
      <c r="O67" s="18">
        <f>'[49]2016-2017'!$H$8+'[49]2016-2017'!$H$9+'[49]2016-2017'!$H$10</f>
        <v>29102.239999999998</v>
      </c>
      <c r="P67" s="18">
        <f>'[49]2016-2017'!$H$11</f>
        <v>16661</v>
      </c>
      <c r="Q67" s="18" t="s">
        <v>245</v>
      </c>
      <c r="R67" s="18">
        <f>'[49]2016-2017'!$H$6+'[49]2016-2017'!$H$7</f>
        <v>3738.5</v>
      </c>
      <c r="S67" s="18">
        <v>0</v>
      </c>
      <c r="T67" s="18">
        <f>11273</f>
        <v>11273</v>
      </c>
      <c r="U67" s="18">
        <f>7829.72</f>
        <v>7829.72</v>
      </c>
      <c r="V67" s="18">
        <v>0</v>
      </c>
      <c r="W67" s="18">
        <v>0</v>
      </c>
    </row>
    <row r="68" spans="2:23" ht="39.75" customHeight="1" x14ac:dyDescent="0.2">
      <c r="B68" s="16" t="s">
        <v>142</v>
      </c>
      <c r="C68" s="16">
        <v>2016</v>
      </c>
      <c r="D68" s="7" t="s">
        <v>12</v>
      </c>
      <c r="E68" s="7" t="s">
        <v>143</v>
      </c>
      <c r="F68" s="7" t="s">
        <v>144</v>
      </c>
      <c r="G68" s="7" t="s">
        <v>145</v>
      </c>
      <c r="H68" s="7" t="s">
        <v>146</v>
      </c>
      <c r="I68" s="17">
        <v>43084</v>
      </c>
      <c r="J68" s="18" t="s">
        <v>245</v>
      </c>
      <c r="K68" s="18" t="s">
        <v>245</v>
      </c>
      <c r="L68" s="18">
        <f>1449.7+4065.5</f>
        <v>5515.2</v>
      </c>
      <c r="M68" s="18">
        <f>5767.2+3704+8635.2+21397.1</f>
        <v>39503.5</v>
      </c>
      <c r="N68" s="18">
        <f>18071.44+2051.4+13758.9</f>
        <v>33881.74</v>
      </c>
      <c r="O68" s="18">
        <f>2150+21908.6+5746</f>
        <v>29804.6</v>
      </c>
      <c r="P68" s="18">
        <f>19395.48+15709.96</f>
        <v>35105.440000000002</v>
      </c>
      <c r="Q68" s="18">
        <f>7523+19644.7+7119.3</f>
        <v>34287</v>
      </c>
      <c r="R68" s="18">
        <f>8741.42+2278+7432</f>
        <v>18451.419999999998</v>
      </c>
      <c r="S68" s="18">
        <f>9165.6+37600.28</f>
        <v>46765.88</v>
      </c>
      <c r="T68" s="18">
        <f>6603.3+14870.7</f>
        <v>21474</v>
      </c>
      <c r="U68" s="18">
        <f>16997.44+23295.4</f>
        <v>40292.839999999997</v>
      </c>
      <c r="V68" s="18">
        <f>11576.44+1428.5+5499.9</f>
        <v>18504.84</v>
      </c>
      <c r="W68" s="18">
        <f>11721.18+3150</f>
        <v>14871.18</v>
      </c>
    </row>
    <row r="69" spans="2:23" ht="39.75" customHeight="1" x14ac:dyDescent="0.2">
      <c r="B69" s="16" t="s">
        <v>147</v>
      </c>
      <c r="C69" s="16">
        <v>2015</v>
      </c>
      <c r="D69" s="7" t="s">
        <v>12</v>
      </c>
      <c r="E69" s="7" t="s">
        <v>148</v>
      </c>
      <c r="F69" s="7" t="s">
        <v>149</v>
      </c>
      <c r="G69" s="7" t="s">
        <v>150</v>
      </c>
      <c r="H69" s="7" t="s">
        <v>151</v>
      </c>
      <c r="I69" s="17">
        <v>42805</v>
      </c>
      <c r="J69" s="18" t="s">
        <v>245</v>
      </c>
      <c r="K69" s="18" t="s">
        <v>245</v>
      </c>
      <c r="L69" s="18" t="s">
        <v>245</v>
      </c>
      <c r="M69" s="18">
        <f>'[50]NETSAFE 2017 - 2018'!$H$7</f>
        <v>333000</v>
      </c>
      <c r="N69" s="18" t="s">
        <v>245</v>
      </c>
      <c r="O69" s="18" t="s">
        <v>245</v>
      </c>
      <c r="P69" s="18" t="s">
        <v>245</v>
      </c>
      <c r="Q69" s="18" t="s">
        <v>245</v>
      </c>
      <c r="R69" s="18" t="s">
        <v>245</v>
      </c>
      <c r="S69" s="18">
        <v>0</v>
      </c>
      <c r="T69" s="20">
        <v>0</v>
      </c>
      <c r="U69" s="20">
        <v>0</v>
      </c>
      <c r="V69" s="18">
        <v>0</v>
      </c>
      <c r="W69" s="18">
        <v>0</v>
      </c>
    </row>
    <row r="70" spans="2:23" ht="39.75" customHeight="1" x14ac:dyDescent="0.2">
      <c r="B70" s="16" t="s">
        <v>154</v>
      </c>
      <c r="C70" s="16">
        <v>2016</v>
      </c>
      <c r="D70" s="7" t="s">
        <v>12</v>
      </c>
      <c r="E70" s="7" t="s">
        <v>155</v>
      </c>
      <c r="F70" s="7" t="s">
        <v>156</v>
      </c>
      <c r="G70" s="7" t="s">
        <v>157</v>
      </c>
      <c r="H70" s="7" t="s">
        <v>158</v>
      </c>
      <c r="I70" s="17">
        <v>43101</v>
      </c>
      <c r="J70" s="18">
        <v>0</v>
      </c>
      <c r="K70" s="18">
        <v>0</v>
      </c>
      <c r="L70" s="18">
        <f>'[51]PETRONORTE 2016 - 2017'!$G$8</f>
        <v>7153.27</v>
      </c>
      <c r="M70" s="18">
        <f>'[51]PETRONORTE 2016 - 2017'!$G$9</f>
        <v>8872.9699999999993</v>
      </c>
      <c r="N70" s="18">
        <f>'[51]PETRONORTE 2016 - 2017'!$G$10+'[51]PETRONORTE 2016 - 2017'!$G$11</f>
        <v>14699.57</v>
      </c>
      <c r="O70" s="18">
        <f>'[51]PETRONORTE 2016 - 2017'!$G$12</f>
        <v>5028.3</v>
      </c>
      <c r="P70" s="18">
        <f>'[51]PETRONORTE 2016 - 2017'!$G$13</f>
        <v>2330.21</v>
      </c>
      <c r="Q70" s="18">
        <f>2526.09</f>
        <v>2526.09</v>
      </c>
      <c r="R70" s="18">
        <f>'[51]PETRONORTE 2016 - 2017'!$G$15</f>
        <v>3387.05</v>
      </c>
      <c r="S70" s="18">
        <f>1822.51</f>
        <v>1822.51</v>
      </c>
      <c r="T70" s="18">
        <f>3323.63</f>
        <v>3323.63</v>
      </c>
      <c r="U70" s="20">
        <v>2710</v>
      </c>
      <c r="V70" s="18">
        <f>'[52]PETRONORTE 2016 - 2017'!$G$19</f>
        <v>3497.64</v>
      </c>
      <c r="W70" s="18">
        <v>0</v>
      </c>
    </row>
    <row r="71" spans="2:23" ht="39.75" customHeight="1" x14ac:dyDescent="0.2">
      <c r="B71" s="16" t="s">
        <v>362</v>
      </c>
      <c r="C71" s="16">
        <v>2017</v>
      </c>
      <c r="D71" s="7" t="s">
        <v>12</v>
      </c>
      <c r="E71" s="7" t="s">
        <v>155</v>
      </c>
      <c r="F71" s="7" t="s">
        <v>156</v>
      </c>
      <c r="G71" s="7" t="s">
        <v>157</v>
      </c>
      <c r="H71" s="7" t="s">
        <v>158</v>
      </c>
      <c r="I71" s="17">
        <v>43462</v>
      </c>
      <c r="J71" s="18"/>
      <c r="K71" s="18"/>
      <c r="L71" s="18"/>
      <c r="M71" s="18"/>
      <c r="N71" s="18"/>
      <c r="O71" s="18"/>
      <c r="P71" s="18"/>
      <c r="Q71" s="18"/>
      <c r="R71" s="18"/>
      <c r="S71" s="18">
        <v>0</v>
      </c>
      <c r="T71" s="18">
        <v>0</v>
      </c>
      <c r="U71" s="18">
        <v>0</v>
      </c>
      <c r="V71" s="18">
        <v>0</v>
      </c>
      <c r="W71" s="18">
        <v>0</v>
      </c>
    </row>
    <row r="72" spans="2:23" ht="39.75" customHeight="1" x14ac:dyDescent="0.2">
      <c r="B72" s="16" t="s">
        <v>159</v>
      </c>
      <c r="C72" s="16">
        <v>2014</v>
      </c>
      <c r="D72" s="7" t="s">
        <v>12</v>
      </c>
      <c r="E72" s="7" t="s">
        <v>160</v>
      </c>
      <c r="F72" s="7" t="s">
        <v>161</v>
      </c>
      <c r="G72" s="7" t="s">
        <v>162</v>
      </c>
      <c r="H72" s="7" t="s">
        <v>163</v>
      </c>
      <c r="I72" s="17">
        <v>42903</v>
      </c>
      <c r="J72" s="18">
        <v>0</v>
      </c>
      <c r="K72" s="18">
        <v>0</v>
      </c>
      <c r="L72" s="18">
        <f>'[53]2016-2017'!$H$16</f>
        <v>4525.41</v>
      </c>
      <c r="M72" s="18">
        <v>0</v>
      </c>
      <c r="N72" s="18">
        <f>'[53]2016-2017'!$H$17</f>
        <v>4609.96</v>
      </c>
      <c r="O72" s="18">
        <f>'[53]2016-2017'!$H$19</f>
        <v>9396.66</v>
      </c>
      <c r="P72" s="18" t="s">
        <v>245</v>
      </c>
      <c r="Q72" s="18" t="s">
        <v>245</v>
      </c>
      <c r="R72" s="18" t="s">
        <v>245</v>
      </c>
      <c r="S72" s="18">
        <f>15839.39</f>
        <v>15839.39</v>
      </c>
      <c r="T72" s="20">
        <v>0</v>
      </c>
      <c r="U72" s="20">
        <v>0</v>
      </c>
      <c r="V72" s="18">
        <v>0</v>
      </c>
      <c r="W72" s="18">
        <v>0</v>
      </c>
    </row>
    <row r="73" spans="2:23" ht="39.75" customHeight="1" x14ac:dyDescent="0.2">
      <c r="B73" s="16" t="s">
        <v>164</v>
      </c>
      <c r="C73" s="16">
        <v>2017</v>
      </c>
      <c r="D73" s="7" t="s">
        <v>54</v>
      </c>
      <c r="E73" s="7" t="s">
        <v>165</v>
      </c>
      <c r="F73" s="7" t="s">
        <v>166</v>
      </c>
      <c r="G73" s="7" t="s">
        <v>167</v>
      </c>
      <c r="H73" s="7" t="s">
        <v>168</v>
      </c>
      <c r="I73" s="17">
        <v>43129</v>
      </c>
      <c r="J73" s="18" t="s">
        <v>245</v>
      </c>
      <c r="K73" s="18" t="s">
        <v>245</v>
      </c>
      <c r="L73" s="18">
        <f>'[54]CTX 2017 - 2018'!$H$8</f>
        <v>9800</v>
      </c>
      <c r="M73" s="18">
        <f>'[54]CTX 2017 - 2018'!$H$9</f>
        <v>8600</v>
      </c>
      <c r="N73" s="18">
        <f>'[54]CTX 2017 - 2018'!$H$10</f>
        <v>7050</v>
      </c>
      <c r="O73" s="18">
        <f>'[54]CTX 2017 - 2018'!$H$11</f>
        <v>1800</v>
      </c>
      <c r="P73" s="18">
        <f>'[54]CTX 2017 - 2018'!$H$12</f>
        <v>9000</v>
      </c>
      <c r="Q73" s="18">
        <v>7550</v>
      </c>
      <c r="R73" s="18" t="s">
        <v>245</v>
      </c>
      <c r="S73" s="18">
        <v>9250</v>
      </c>
      <c r="T73" s="18">
        <f>1650+18000</f>
        <v>19650</v>
      </c>
      <c r="U73" s="18">
        <v>10800</v>
      </c>
      <c r="V73" s="18">
        <f>'[55]CTX 2017 - 2018'!$H$18</f>
        <v>4750</v>
      </c>
      <c r="W73" s="18">
        <f>'[55]CTX 2017 - 2018'!$H$19</f>
        <v>13250</v>
      </c>
    </row>
    <row r="74" spans="2:23" ht="39.75" customHeight="1" x14ac:dyDescent="0.2">
      <c r="B74" s="16" t="s">
        <v>191</v>
      </c>
      <c r="C74" s="16">
        <v>2017</v>
      </c>
      <c r="D74" s="7"/>
      <c r="E74" s="7" t="s">
        <v>294</v>
      </c>
      <c r="F74" s="7" t="s">
        <v>259</v>
      </c>
      <c r="G74" s="7" t="s">
        <v>260</v>
      </c>
      <c r="H74" s="7"/>
      <c r="I74" s="17">
        <v>43343</v>
      </c>
      <c r="J74" s="18" t="s">
        <v>245</v>
      </c>
      <c r="K74" s="18" t="s">
        <v>245</v>
      </c>
      <c r="L74" s="18" t="s">
        <v>245</v>
      </c>
      <c r="M74" s="18" t="s">
        <v>245</v>
      </c>
      <c r="N74" s="18" t="s">
        <v>245</v>
      </c>
      <c r="O74" s="18" t="s">
        <v>245</v>
      </c>
      <c r="P74" s="18" t="s">
        <v>245</v>
      </c>
      <c r="Q74" s="18" t="s">
        <v>245</v>
      </c>
      <c r="R74" s="18" t="s">
        <v>245</v>
      </c>
      <c r="S74" s="18">
        <v>0</v>
      </c>
      <c r="T74" s="20">
        <v>0</v>
      </c>
      <c r="U74" s="18">
        <v>150000</v>
      </c>
      <c r="V74" s="18">
        <v>150000</v>
      </c>
      <c r="W74" s="18">
        <v>150000</v>
      </c>
    </row>
    <row r="75" spans="2:23" ht="39.75" customHeight="1" x14ac:dyDescent="0.2">
      <c r="B75" s="16" t="s">
        <v>169</v>
      </c>
      <c r="C75" s="16">
        <v>2016</v>
      </c>
      <c r="D75" s="7" t="s">
        <v>69</v>
      </c>
      <c r="E75" s="7" t="s">
        <v>170</v>
      </c>
      <c r="F75" s="7" t="s">
        <v>171</v>
      </c>
      <c r="G75" s="7" t="s">
        <v>172</v>
      </c>
      <c r="H75" s="7" t="s">
        <v>173</v>
      </c>
      <c r="I75" s="17"/>
      <c r="J75" s="18">
        <v>0</v>
      </c>
      <c r="K75" s="18">
        <v>99000</v>
      </c>
      <c r="L75" s="18">
        <v>0</v>
      </c>
      <c r="M75" s="18">
        <v>0</v>
      </c>
      <c r="N75" s="18">
        <v>0</v>
      </c>
      <c r="O75" s="18">
        <f>'[56]FVG 2016 - 2017'!$G$13</f>
        <v>371800</v>
      </c>
      <c r="P75" s="18" t="s">
        <v>245</v>
      </c>
      <c r="Q75" s="18" t="s">
        <v>245</v>
      </c>
      <c r="R75" s="18" t="s">
        <v>245</v>
      </c>
      <c r="S75" s="18">
        <v>0</v>
      </c>
      <c r="T75" s="18">
        <v>360000</v>
      </c>
      <c r="U75" s="20">
        <v>360000</v>
      </c>
      <c r="V75" s="18">
        <v>0</v>
      </c>
      <c r="W75" s="18">
        <v>0</v>
      </c>
    </row>
    <row r="76" spans="2:23" ht="39.75" customHeight="1" x14ac:dyDescent="0.2">
      <c r="B76" s="16" t="s">
        <v>174</v>
      </c>
      <c r="C76" s="16">
        <v>2016</v>
      </c>
      <c r="D76" s="7" t="s">
        <v>12</v>
      </c>
      <c r="E76" s="7" t="s">
        <v>175</v>
      </c>
      <c r="F76" s="7" t="s">
        <v>176</v>
      </c>
      <c r="G76" s="7" t="s">
        <v>121</v>
      </c>
      <c r="H76" s="7" t="s">
        <v>177</v>
      </c>
      <c r="I76" s="17">
        <v>43039</v>
      </c>
      <c r="J76" s="18">
        <v>0</v>
      </c>
      <c r="K76" s="18">
        <v>0</v>
      </c>
      <c r="L76" s="18">
        <v>47373.14</v>
      </c>
      <c r="M76" s="18">
        <f>'[57]2016 - 2017'!$H$10</f>
        <v>267201.93</v>
      </c>
      <c r="N76" s="18">
        <f>'[57]2016 - 2017'!$H$11</f>
        <v>527906.32999999996</v>
      </c>
      <c r="O76" s="18">
        <f>'[57]2016 - 2017'!$H$12</f>
        <v>408901.22000000003</v>
      </c>
      <c r="P76" s="18">
        <f>'[57]2016 - 2017'!$H$13</f>
        <v>337957.4</v>
      </c>
      <c r="Q76" s="18">
        <f>310967.74+275162.64</f>
        <v>586130.38</v>
      </c>
      <c r="R76" s="18">
        <f>'[57]2016 - 2017'!$H$16+'[57]2016 - 2017'!$H$17</f>
        <v>746728.23</v>
      </c>
      <c r="S76" s="18">
        <f>425655.67</f>
        <v>425655.67</v>
      </c>
      <c r="T76" s="18">
        <f>402889.03</f>
        <v>402889.03</v>
      </c>
      <c r="U76" s="18">
        <f>466270.53+480236.19</f>
        <v>946506.72</v>
      </c>
      <c r="V76" s="18">
        <f>'[58]2017 - 2018'!$H$10</f>
        <v>590990.82999999996</v>
      </c>
      <c r="W76" s="18">
        <f>'[58]2017 - 2018'!$H$11</f>
        <v>354269.99</v>
      </c>
    </row>
    <row r="77" spans="2:23" ht="39.75" customHeight="1" x14ac:dyDescent="0.2">
      <c r="B77" s="16" t="s">
        <v>254</v>
      </c>
      <c r="C77" s="16">
        <v>2017</v>
      </c>
      <c r="D77" s="7"/>
      <c r="E77" s="7" t="s">
        <v>345</v>
      </c>
      <c r="F77" s="7" t="s">
        <v>255</v>
      </c>
      <c r="G77" s="7" t="s">
        <v>342</v>
      </c>
      <c r="H77" s="7"/>
      <c r="I77" s="17">
        <v>43293</v>
      </c>
      <c r="J77" s="18" t="s">
        <v>245</v>
      </c>
      <c r="K77" s="18" t="s">
        <v>245</v>
      </c>
      <c r="L77" s="18" t="s">
        <v>245</v>
      </c>
      <c r="M77" s="18" t="s">
        <v>245</v>
      </c>
      <c r="N77" s="18" t="s">
        <v>245</v>
      </c>
      <c r="O77" s="18" t="s">
        <v>245</v>
      </c>
      <c r="P77" s="18" t="s">
        <v>245</v>
      </c>
      <c r="Q77" s="18" t="s">
        <v>245</v>
      </c>
      <c r="R77" s="18">
        <f>'[59]BARCELOS EVENTOS'!$H$10+'[59]BARCELOS EVENTOS'!$H$11</f>
        <v>45284.75</v>
      </c>
      <c r="S77" s="18">
        <v>0</v>
      </c>
      <c r="T77" s="18">
        <f>22873.5</f>
        <v>22873.5</v>
      </c>
      <c r="U77" s="20">
        <f>18501+377.5</f>
        <v>18878.5</v>
      </c>
      <c r="V77" s="18">
        <v>0</v>
      </c>
      <c r="W77" s="18">
        <v>0</v>
      </c>
    </row>
    <row r="78" spans="2:23" ht="39.75" customHeight="1" x14ac:dyDescent="0.2">
      <c r="B78" s="16" t="s">
        <v>234</v>
      </c>
      <c r="C78" s="16">
        <v>2017</v>
      </c>
      <c r="D78" s="7"/>
      <c r="E78" s="7" t="s">
        <v>345</v>
      </c>
      <c r="F78" s="7" t="s">
        <v>255</v>
      </c>
      <c r="G78" s="7" t="s">
        <v>343</v>
      </c>
      <c r="H78" s="7"/>
      <c r="I78" s="23" t="s">
        <v>344</v>
      </c>
      <c r="J78" s="18" t="s">
        <v>245</v>
      </c>
      <c r="K78" s="18" t="s">
        <v>245</v>
      </c>
      <c r="L78" s="18" t="s">
        <v>245</v>
      </c>
      <c r="M78" s="18" t="s">
        <v>245</v>
      </c>
      <c r="N78" s="18" t="s">
        <v>245</v>
      </c>
      <c r="O78" s="18" t="s">
        <v>245</v>
      </c>
      <c r="P78" s="18" t="s">
        <v>245</v>
      </c>
      <c r="Q78" s="18" t="s">
        <v>245</v>
      </c>
      <c r="R78" s="18">
        <f>'[59]BARCELOS EVENTOS'!$H$10+'[59]BARCELOS EVENTOS'!$H$11</f>
        <v>45284.75</v>
      </c>
      <c r="S78" s="18">
        <v>0</v>
      </c>
      <c r="T78" s="18">
        <v>0</v>
      </c>
      <c r="U78" s="20">
        <v>76560.800000000003</v>
      </c>
      <c r="V78" s="18">
        <v>0</v>
      </c>
      <c r="W78" s="18">
        <v>0</v>
      </c>
    </row>
    <row r="79" spans="2:23" ht="39.75" customHeight="1" x14ac:dyDescent="0.2">
      <c r="B79" s="25" t="s">
        <v>273</v>
      </c>
      <c r="C79" s="16">
        <v>2017</v>
      </c>
      <c r="D79" s="7"/>
      <c r="E79" s="8" t="s">
        <v>274</v>
      </c>
      <c r="F79" s="8" t="s">
        <v>275</v>
      </c>
      <c r="G79" s="8" t="s">
        <v>276</v>
      </c>
      <c r="H79" s="7"/>
      <c r="I79" s="17">
        <v>43284</v>
      </c>
      <c r="J79" s="20" t="s">
        <v>245</v>
      </c>
      <c r="K79" s="20" t="s">
        <v>245</v>
      </c>
      <c r="L79" s="20" t="s">
        <v>245</v>
      </c>
      <c r="M79" s="20" t="s">
        <v>245</v>
      </c>
      <c r="N79" s="20" t="s">
        <v>245</v>
      </c>
      <c r="O79" s="20" t="s">
        <v>245</v>
      </c>
      <c r="P79" s="20">
        <v>0</v>
      </c>
      <c r="Q79" s="20">
        <f>SUM('[60]Pagamentos VOETUR'!$D$7:$D$9)</f>
        <v>18225.12</v>
      </c>
      <c r="R79" s="18">
        <f>SUM('[60]Pagamentos VOETUR'!$D$10:$D$15)</f>
        <v>36422.04</v>
      </c>
      <c r="S79" s="18">
        <v>36447.410000000003</v>
      </c>
      <c r="T79" s="18">
        <f>10501.65+
1728.83</f>
        <v>12230.48</v>
      </c>
      <c r="U79" s="18">
        <f>59546.53+
2359.58+
2544.17+
764.95+1385.68
+8270.72+
1067.79+
15299.43+2925.03</f>
        <v>94163.879999999976</v>
      </c>
      <c r="V79" s="18">
        <f>232.32+
8007.16+
108884.86+
83.47+
66.77+9249.05+
66.77</f>
        <v>126590.40000000001</v>
      </c>
      <c r="W79" s="18">
        <f>3902.98+
6323.12+
8352.34+65.15+
12205.95+
1763.77+
6015.1+6707.06+
55.67+
22729.4</f>
        <v>68120.540000000008</v>
      </c>
    </row>
    <row r="80" spans="2:23" ht="39.75" customHeight="1" x14ac:dyDescent="0.2">
      <c r="B80" s="16" t="s">
        <v>164</v>
      </c>
      <c r="C80" s="16">
        <v>2017</v>
      </c>
      <c r="D80" s="7" t="s">
        <v>69</v>
      </c>
      <c r="E80" s="7" t="s">
        <v>178</v>
      </c>
      <c r="F80" s="7" t="s">
        <v>179</v>
      </c>
      <c r="G80" s="7" t="s">
        <v>180</v>
      </c>
      <c r="H80" s="7" t="s">
        <v>181</v>
      </c>
      <c r="I80" s="17">
        <v>43086</v>
      </c>
      <c r="J80" s="18" t="s">
        <v>245</v>
      </c>
      <c r="K80" s="18">
        <v>436.05</v>
      </c>
      <c r="L80" s="18">
        <v>328.32</v>
      </c>
      <c r="M80" s="18">
        <v>343.71</v>
      </c>
      <c r="N80" s="18">
        <v>297.54000000000002</v>
      </c>
      <c r="O80" s="18">
        <v>282.14999999999998</v>
      </c>
      <c r="P80" s="18">
        <v>364.23</v>
      </c>
      <c r="Q80" s="18">
        <v>302.67</v>
      </c>
      <c r="R80" s="18">
        <v>446.31</v>
      </c>
      <c r="S80" s="18">
        <v>282.14999999999998</v>
      </c>
      <c r="T80" s="18">
        <v>425.79</v>
      </c>
      <c r="U80" s="18">
        <v>564.29999999999995</v>
      </c>
      <c r="V80" s="18">
        <v>302.67</v>
      </c>
      <c r="W80" s="18">
        <v>487.35</v>
      </c>
    </row>
    <row r="81" spans="2:23" ht="39.75" customHeight="1" x14ac:dyDescent="0.2">
      <c r="B81" s="16" t="s">
        <v>182</v>
      </c>
      <c r="C81" s="16">
        <v>2017</v>
      </c>
      <c r="D81" s="7" t="s">
        <v>69</v>
      </c>
      <c r="E81" s="7" t="s">
        <v>183</v>
      </c>
      <c r="F81" s="7" t="s">
        <v>184</v>
      </c>
      <c r="G81" s="7" t="s">
        <v>185</v>
      </c>
      <c r="H81" s="7" t="s">
        <v>186</v>
      </c>
      <c r="I81" s="17">
        <v>43086</v>
      </c>
      <c r="J81" s="18">
        <v>93</v>
      </c>
      <c r="K81" s="18" t="s">
        <v>245</v>
      </c>
      <c r="L81" s="18">
        <v>150</v>
      </c>
      <c r="M81" s="18">
        <v>180</v>
      </c>
      <c r="N81" s="18" t="s">
        <v>245</v>
      </c>
      <c r="O81" s="18" t="s">
        <v>245</v>
      </c>
      <c r="P81" s="18">
        <v>132</v>
      </c>
      <c r="Q81" s="18">
        <v>76</v>
      </c>
      <c r="R81" s="18" t="s">
        <v>245</v>
      </c>
      <c r="S81" s="18">
        <v>72</v>
      </c>
      <c r="T81" s="18">
        <v>50</v>
      </c>
      <c r="U81" s="18">
        <v>140</v>
      </c>
      <c r="V81" s="18">
        <v>0</v>
      </c>
      <c r="W81" s="18">
        <v>122.48</v>
      </c>
    </row>
    <row r="82" spans="2:23" ht="39.75" customHeight="1" x14ac:dyDescent="0.2">
      <c r="B82" s="16" t="s">
        <v>187</v>
      </c>
      <c r="C82" s="16">
        <v>2017</v>
      </c>
      <c r="D82" s="7" t="s">
        <v>69</v>
      </c>
      <c r="E82" s="7" t="s">
        <v>296</v>
      </c>
      <c r="F82" s="7" t="s">
        <v>188</v>
      </c>
      <c r="G82" s="7" t="s">
        <v>189</v>
      </c>
      <c r="H82" s="7" t="s">
        <v>190</v>
      </c>
      <c r="I82" s="17"/>
      <c r="J82" s="18">
        <v>571.20000000000005</v>
      </c>
      <c r="K82" s="18">
        <v>0</v>
      </c>
      <c r="L82" s="18">
        <v>3425.8</v>
      </c>
      <c r="M82" s="18">
        <v>0</v>
      </c>
      <c r="N82" s="18">
        <v>0</v>
      </c>
      <c r="O82" s="18">
        <v>0</v>
      </c>
      <c r="P82" s="18" t="s">
        <v>245</v>
      </c>
      <c r="Q82" s="18" t="s">
        <v>245</v>
      </c>
      <c r="R82" s="18" t="s">
        <v>245</v>
      </c>
      <c r="S82" s="18">
        <v>0</v>
      </c>
      <c r="T82" s="20">
        <v>0</v>
      </c>
      <c r="U82" s="20">
        <v>0</v>
      </c>
      <c r="V82" s="18">
        <v>959</v>
      </c>
      <c r="W82" s="18">
        <v>0</v>
      </c>
    </row>
    <row r="83" spans="2:23" ht="55.5" customHeight="1" x14ac:dyDescent="0.2">
      <c r="B83" s="16" t="s">
        <v>284</v>
      </c>
      <c r="C83" s="16">
        <v>2017</v>
      </c>
      <c r="D83" s="7"/>
      <c r="E83" s="7" t="s">
        <v>295</v>
      </c>
      <c r="F83" s="7" t="s">
        <v>261</v>
      </c>
      <c r="G83" s="7"/>
      <c r="H83" s="7"/>
      <c r="I83" s="17">
        <v>43336</v>
      </c>
      <c r="J83" s="18" t="s">
        <v>245</v>
      </c>
      <c r="K83" s="18" t="s">
        <v>245</v>
      </c>
      <c r="L83" s="18" t="s">
        <v>245</v>
      </c>
      <c r="M83" s="18" t="s">
        <v>245</v>
      </c>
      <c r="N83" s="18" t="s">
        <v>245</v>
      </c>
      <c r="O83" s="18" t="s">
        <v>245</v>
      </c>
      <c r="P83" s="18" t="s">
        <v>245</v>
      </c>
      <c r="Q83" s="18" t="s">
        <v>245</v>
      </c>
      <c r="R83" s="18" t="s">
        <v>245</v>
      </c>
      <c r="S83" s="18">
        <v>0</v>
      </c>
      <c r="T83" s="20">
        <v>0</v>
      </c>
      <c r="U83" s="20">
        <v>0</v>
      </c>
      <c r="V83" s="18">
        <v>32709.599999999999</v>
      </c>
      <c r="W83" s="18">
        <v>0</v>
      </c>
    </row>
    <row r="84" spans="2:23" ht="39.75" customHeight="1" x14ac:dyDescent="0.2">
      <c r="B84" s="16" t="s">
        <v>191</v>
      </c>
      <c r="C84" s="16">
        <v>2017</v>
      </c>
      <c r="D84" s="7" t="s">
        <v>69</v>
      </c>
      <c r="E84" s="7" t="s">
        <v>192</v>
      </c>
      <c r="F84" s="7" t="s">
        <v>193</v>
      </c>
      <c r="G84" s="7" t="s">
        <v>194</v>
      </c>
      <c r="H84" s="7" t="s">
        <v>195</v>
      </c>
      <c r="I84" s="17"/>
      <c r="J84" s="18" t="s">
        <v>245</v>
      </c>
      <c r="K84" s="18" t="s">
        <v>245</v>
      </c>
      <c r="L84" s="18">
        <v>5800</v>
      </c>
      <c r="M84" s="18" t="s">
        <v>245</v>
      </c>
      <c r="N84" s="18" t="s">
        <v>245</v>
      </c>
      <c r="O84" s="18" t="s">
        <v>245</v>
      </c>
      <c r="P84" s="18" t="s">
        <v>245</v>
      </c>
      <c r="Q84" s="18" t="s">
        <v>245</v>
      </c>
      <c r="R84" s="18" t="s">
        <v>245</v>
      </c>
      <c r="S84" s="20">
        <v>0</v>
      </c>
      <c r="T84" s="20">
        <v>0</v>
      </c>
      <c r="U84" s="20">
        <v>0</v>
      </c>
      <c r="V84" s="18">
        <v>0</v>
      </c>
      <c r="W84" s="18">
        <v>0</v>
      </c>
    </row>
    <row r="85" spans="2:23" ht="39.75" customHeight="1" x14ac:dyDescent="0.2">
      <c r="B85" s="16" t="s">
        <v>196</v>
      </c>
      <c r="C85" s="16">
        <v>2017</v>
      </c>
      <c r="D85" s="7" t="s">
        <v>69</v>
      </c>
      <c r="E85" s="7" t="s">
        <v>197</v>
      </c>
      <c r="F85" s="7" t="s">
        <v>198</v>
      </c>
      <c r="G85" s="7" t="s">
        <v>199</v>
      </c>
      <c r="H85" s="7" t="s">
        <v>200</v>
      </c>
      <c r="I85" s="17"/>
      <c r="J85" s="18" t="s">
        <v>245</v>
      </c>
      <c r="K85" s="18" t="s">
        <v>245</v>
      </c>
      <c r="L85" s="18">
        <v>7800</v>
      </c>
      <c r="M85" s="18" t="s">
        <v>245</v>
      </c>
      <c r="N85" s="18" t="s">
        <v>245</v>
      </c>
      <c r="O85" s="18" t="s">
        <v>245</v>
      </c>
      <c r="P85" s="18" t="s">
        <v>245</v>
      </c>
      <c r="Q85" s="18" t="s">
        <v>245</v>
      </c>
      <c r="R85" s="18" t="s">
        <v>245</v>
      </c>
      <c r="S85" s="18">
        <v>0</v>
      </c>
      <c r="T85" s="20">
        <v>0</v>
      </c>
      <c r="U85" s="20">
        <v>0</v>
      </c>
      <c r="V85" s="18">
        <v>0</v>
      </c>
      <c r="W85" s="18">
        <v>0</v>
      </c>
    </row>
    <row r="86" spans="2:23" ht="39.75" customHeight="1" x14ac:dyDescent="0.2">
      <c r="B86" s="16" t="s">
        <v>278</v>
      </c>
      <c r="C86" s="16">
        <v>2017</v>
      </c>
      <c r="D86" s="7" t="s">
        <v>69</v>
      </c>
      <c r="E86" s="7" t="s">
        <v>201</v>
      </c>
      <c r="F86" s="7" t="s">
        <v>202</v>
      </c>
      <c r="G86" s="7" t="s">
        <v>203</v>
      </c>
      <c r="H86" s="7" t="s">
        <v>204</v>
      </c>
      <c r="I86" s="17"/>
      <c r="J86" s="20" t="s">
        <v>245</v>
      </c>
      <c r="K86" s="18">
        <v>300</v>
      </c>
      <c r="L86" s="20" t="s">
        <v>245</v>
      </c>
      <c r="M86" s="18">
        <v>300</v>
      </c>
      <c r="N86" s="18">
        <v>300</v>
      </c>
      <c r="O86" s="18">
        <v>300</v>
      </c>
      <c r="P86" s="18">
        <v>300</v>
      </c>
      <c r="Q86" s="18">
        <v>300</v>
      </c>
      <c r="R86" s="18">
        <v>300</v>
      </c>
      <c r="S86" s="18">
        <v>300</v>
      </c>
      <c r="T86" s="18">
        <v>300</v>
      </c>
      <c r="U86" s="20">
        <v>0</v>
      </c>
      <c r="V86" s="18">
        <v>300</v>
      </c>
      <c r="W86" s="18">
        <v>600</v>
      </c>
    </row>
    <row r="87" spans="2:23" ht="39.75" customHeight="1" x14ac:dyDescent="0.2">
      <c r="B87" s="16" t="s">
        <v>205</v>
      </c>
      <c r="C87" s="16">
        <v>2017</v>
      </c>
      <c r="D87" s="7" t="s">
        <v>69</v>
      </c>
      <c r="E87" s="7" t="s">
        <v>206</v>
      </c>
      <c r="F87" s="7" t="s">
        <v>207</v>
      </c>
      <c r="G87" s="7" t="s">
        <v>208</v>
      </c>
      <c r="H87" s="7" t="s">
        <v>209</v>
      </c>
      <c r="I87" s="17"/>
      <c r="J87" s="20" t="s">
        <v>245</v>
      </c>
      <c r="K87" s="20" t="s">
        <v>245</v>
      </c>
      <c r="L87" s="20" t="s">
        <v>245</v>
      </c>
      <c r="M87" s="20" t="s">
        <v>245</v>
      </c>
      <c r="N87" s="18">
        <v>1546</v>
      </c>
      <c r="O87" s="18">
        <v>1061</v>
      </c>
      <c r="P87" s="20" t="s">
        <v>245</v>
      </c>
      <c r="Q87" s="20" t="s">
        <v>245</v>
      </c>
      <c r="R87" s="18">
        <v>1076</v>
      </c>
      <c r="S87" s="18">
        <v>795</v>
      </c>
      <c r="T87" s="20">
        <v>0</v>
      </c>
      <c r="U87" s="20">
        <v>1100</v>
      </c>
      <c r="V87" s="18">
        <v>0</v>
      </c>
      <c r="W87" s="18">
        <v>350</v>
      </c>
    </row>
    <row r="88" spans="2:23" ht="39.75" customHeight="1" x14ac:dyDescent="0.2">
      <c r="B88" s="16" t="s">
        <v>210</v>
      </c>
      <c r="C88" s="16">
        <v>2017</v>
      </c>
      <c r="D88" s="7" t="s">
        <v>69</v>
      </c>
      <c r="E88" s="7" t="s">
        <v>211</v>
      </c>
      <c r="F88" s="7" t="s">
        <v>212</v>
      </c>
      <c r="G88" s="7" t="s">
        <v>213</v>
      </c>
      <c r="H88" s="26" t="s">
        <v>214</v>
      </c>
      <c r="I88" s="17"/>
      <c r="J88" s="20" t="s">
        <v>245</v>
      </c>
      <c r="K88" s="20" t="s">
        <v>245</v>
      </c>
      <c r="L88" s="20" t="s">
        <v>245</v>
      </c>
      <c r="M88" s="20" t="s">
        <v>245</v>
      </c>
      <c r="N88" s="20" t="s">
        <v>245</v>
      </c>
      <c r="O88" s="20" t="s">
        <v>245</v>
      </c>
      <c r="P88" s="20" t="s">
        <v>245</v>
      </c>
      <c r="Q88" s="20" t="s">
        <v>245</v>
      </c>
      <c r="R88" s="18" t="s">
        <v>245</v>
      </c>
      <c r="S88" s="18">
        <v>0</v>
      </c>
      <c r="T88" s="20">
        <v>0</v>
      </c>
      <c r="U88" s="20">
        <v>0</v>
      </c>
      <c r="V88" s="18">
        <v>0</v>
      </c>
      <c r="W88" s="18">
        <v>0</v>
      </c>
    </row>
    <row r="89" spans="2:23" ht="39.75" customHeight="1" x14ac:dyDescent="0.2">
      <c r="B89" s="16" t="s">
        <v>215</v>
      </c>
      <c r="C89" s="16">
        <v>2017</v>
      </c>
      <c r="D89" s="7" t="s">
        <v>69</v>
      </c>
      <c r="E89" s="7" t="s">
        <v>216</v>
      </c>
      <c r="F89" s="7"/>
      <c r="G89" s="7" t="s">
        <v>217</v>
      </c>
      <c r="H89" s="7" t="s">
        <v>218</v>
      </c>
      <c r="I89" s="17"/>
      <c r="J89" s="20" t="s">
        <v>245</v>
      </c>
      <c r="K89" s="20" t="s">
        <v>245</v>
      </c>
      <c r="L89" s="20" t="s">
        <v>245</v>
      </c>
      <c r="M89" s="18">
        <v>3180</v>
      </c>
      <c r="N89" s="20" t="s">
        <v>245</v>
      </c>
      <c r="O89" s="20" t="s">
        <v>245</v>
      </c>
      <c r="P89" s="20" t="s">
        <v>245</v>
      </c>
      <c r="Q89" s="20" t="s">
        <v>245</v>
      </c>
      <c r="R89" s="18" t="s">
        <v>245</v>
      </c>
      <c r="S89" s="18">
        <v>0</v>
      </c>
      <c r="T89" s="20">
        <v>0</v>
      </c>
      <c r="U89" s="20">
        <v>5500</v>
      </c>
      <c r="V89" s="18">
        <v>0</v>
      </c>
      <c r="W89" s="18">
        <v>0</v>
      </c>
    </row>
    <row r="90" spans="2:23" ht="39.75" customHeight="1" x14ac:dyDescent="0.2">
      <c r="B90" s="16" t="s">
        <v>219</v>
      </c>
      <c r="C90" s="16">
        <v>2017</v>
      </c>
      <c r="D90" s="7" t="s">
        <v>69</v>
      </c>
      <c r="E90" s="7" t="s">
        <v>220</v>
      </c>
      <c r="F90" s="7"/>
      <c r="G90" s="26" t="s">
        <v>221</v>
      </c>
      <c r="H90" s="7" t="s">
        <v>222</v>
      </c>
      <c r="I90" s="17"/>
      <c r="J90" s="20" t="s">
        <v>245</v>
      </c>
      <c r="K90" s="20" t="s">
        <v>245</v>
      </c>
      <c r="L90" s="20" t="s">
        <v>245</v>
      </c>
      <c r="M90" s="20" t="s">
        <v>245</v>
      </c>
      <c r="N90" s="20" t="s">
        <v>245</v>
      </c>
      <c r="O90" s="20" t="s">
        <v>245</v>
      </c>
      <c r="P90" s="18">
        <v>630.23</v>
      </c>
      <c r="Q90" s="18" t="s">
        <v>245</v>
      </c>
      <c r="R90" s="18">
        <v>1377.68</v>
      </c>
      <c r="S90" s="20">
        <v>0</v>
      </c>
      <c r="T90" s="20">
        <v>0</v>
      </c>
      <c r="U90" s="20">
        <v>0</v>
      </c>
      <c r="V90" s="18">
        <v>0</v>
      </c>
      <c r="W90" s="18">
        <v>0</v>
      </c>
    </row>
    <row r="91" spans="2:23" ht="39.75" customHeight="1" x14ac:dyDescent="0.2">
      <c r="B91" s="16" t="s">
        <v>279</v>
      </c>
      <c r="C91" s="16">
        <v>2017</v>
      </c>
      <c r="D91" s="7" t="s">
        <v>69</v>
      </c>
      <c r="E91" s="7" t="s">
        <v>223</v>
      </c>
      <c r="F91" s="26"/>
      <c r="G91" s="7" t="s">
        <v>224</v>
      </c>
      <c r="H91" s="26" t="s">
        <v>225</v>
      </c>
      <c r="I91" s="17"/>
      <c r="J91" s="20" t="s">
        <v>245</v>
      </c>
      <c r="K91" s="20" t="s">
        <v>245</v>
      </c>
      <c r="L91" s="20" t="s">
        <v>245</v>
      </c>
      <c r="M91" s="20" t="s">
        <v>245</v>
      </c>
      <c r="N91" s="20" t="s">
        <v>245</v>
      </c>
      <c r="O91" s="20" t="s">
        <v>245</v>
      </c>
      <c r="P91" s="20" t="s">
        <v>245</v>
      </c>
      <c r="Q91" s="20" t="s">
        <v>245</v>
      </c>
      <c r="R91" s="18" t="s">
        <v>245</v>
      </c>
      <c r="S91" s="18">
        <v>0</v>
      </c>
      <c r="T91" s="20">
        <v>0</v>
      </c>
      <c r="U91" s="20">
        <v>0</v>
      </c>
      <c r="V91" s="18">
        <v>0</v>
      </c>
      <c r="W91" s="18">
        <v>0</v>
      </c>
    </row>
    <row r="92" spans="2:23" ht="39.75" customHeight="1" x14ac:dyDescent="0.2">
      <c r="B92" s="16" t="s">
        <v>226</v>
      </c>
      <c r="C92" s="16">
        <v>2017</v>
      </c>
      <c r="D92" s="7" t="s">
        <v>69</v>
      </c>
      <c r="E92" s="7" t="s">
        <v>227</v>
      </c>
      <c r="F92" s="26"/>
      <c r="G92" s="7" t="s">
        <v>228</v>
      </c>
      <c r="H92" s="26" t="s">
        <v>229</v>
      </c>
      <c r="I92" s="17"/>
      <c r="J92" s="20" t="s">
        <v>245</v>
      </c>
      <c r="K92" s="18">
        <v>3500</v>
      </c>
      <c r="L92" s="20" t="s">
        <v>245</v>
      </c>
      <c r="M92" s="20" t="s">
        <v>245</v>
      </c>
      <c r="N92" s="20" t="s">
        <v>245</v>
      </c>
      <c r="O92" s="20" t="s">
        <v>245</v>
      </c>
      <c r="P92" s="20" t="s">
        <v>245</v>
      </c>
      <c r="Q92" s="20" t="s">
        <v>245</v>
      </c>
      <c r="R92" s="18" t="s">
        <v>245</v>
      </c>
      <c r="S92" s="18">
        <v>0</v>
      </c>
      <c r="T92" s="20">
        <v>0</v>
      </c>
      <c r="U92" s="20">
        <v>0</v>
      </c>
      <c r="V92" s="18">
        <v>0</v>
      </c>
      <c r="W92" s="18">
        <v>0</v>
      </c>
    </row>
    <row r="93" spans="2:23" ht="39.75" customHeight="1" x14ac:dyDescent="0.2">
      <c r="B93" s="16" t="s">
        <v>230</v>
      </c>
      <c r="C93" s="16">
        <v>2017</v>
      </c>
      <c r="D93" s="7" t="s">
        <v>69</v>
      </c>
      <c r="E93" s="7" t="s">
        <v>231</v>
      </c>
      <c r="F93" s="26"/>
      <c r="G93" s="7" t="s">
        <v>232</v>
      </c>
      <c r="H93" s="26" t="s">
        <v>233</v>
      </c>
      <c r="I93" s="17"/>
      <c r="J93" s="20" t="s">
        <v>245</v>
      </c>
      <c r="K93" s="20" t="s">
        <v>245</v>
      </c>
      <c r="L93" s="20" t="s">
        <v>245</v>
      </c>
      <c r="M93" s="20" t="s">
        <v>245</v>
      </c>
      <c r="N93" s="18">
        <v>3500</v>
      </c>
      <c r="O93" s="20" t="s">
        <v>245</v>
      </c>
      <c r="P93" s="20" t="s">
        <v>245</v>
      </c>
      <c r="Q93" s="20" t="s">
        <v>245</v>
      </c>
      <c r="R93" s="18" t="s">
        <v>245</v>
      </c>
      <c r="S93" s="18">
        <v>0</v>
      </c>
      <c r="T93" s="20">
        <v>0</v>
      </c>
      <c r="U93" s="20">
        <v>0</v>
      </c>
      <c r="V93" s="18">
        <v>0</v>
      </c>
      <c r="W93" s="18">
        <v>0</v>
      </c>
    </row>
    <row r="94" spans="2:23" ht="39.75" customHeight="1" x14ac:dyDescent="0.2">
      <c r="B94" s="16" t="s">
        <v>234</v>
      </c>
      <c r="C94" s="16">
        <v>2017</v>
      </c>
      <c r="D94" s="7" t="s">
        <v>69</v>
      </c>
      <c r="E94" s="7" t="s">
        <v>235</v>
      </c>
      <c r="F94" s="26"/>
      <c r="G94" s="7" t="s">
        <v>236</v>
      </c>
      <c r="H94" s="26" t="s">
        <v>237</v>
      </c>
      <c r="I94" s="17"/>
      <c r="J94" s="20" t="s">
        <v>245</v>
      </c>
      <c r="K94" s="20" t="s">
        <v>245</v>
      </c>
      <c r="L94" s="20" t="s">
        <v>245</v>
      </c>
      <c r="M94" s="18">
        <v>7925</v>
      </c>
      <c r="N94" s="20" t="s">
        <v>245</v>
      </c>
      <c r="O94" s="20" t="s">
        <v>245</v>
      </c>
      <c r="P94" s="20" t="s">
        <v>245</v>
      </c>
      <c r="Q94" s="20" t="s">
        <v>245</v>
      </c>
      <c r="R94" s="18" t="s">
        <v>245</v>
      </c>
      <c r="S94" s="18">
        <v>0</v>
      </c>
      <c r="T94" s="20">
        <v>0</v>
      </c>
      <c r="U94" s="20">
        <v>0</v>
      </c>
      <c r="V94" s="18">
        <v>0</v>
      </c>
      <c r="W94" s="18">
        <v>0</v>
      </c>
    </row>
    <row r="95" spans="2:23" ht="39.75" customHeight="1" x14ac:dyDescent="0.2">
      <c r="B95" s="16" t="s">
        <v>238</v>
      </c>
      <c r="C95" s="16">
        <v>2017</v>
      </c>
      <c r="D95" s="7" t="s">
        <v>69</v>
      </c>
      <c r="E95" s="7" t="s">
        <v>239</v>
      </c>
      <c r="F95" s="26"/>
      <c r="G95" s="7" t="s">
        <v>240</v>
      </c>
      <c r="H95" s="26" t="s">
        <v>241</v>
      </c>
      <c r="I95" s="17"/>
      <c r="J95" s="20" t="s">
        <v>245</v>
      </c>
      <c r="K95" s="20" t="s">
        <v>245</v>
      </c>
      <c r="L95" s="20" t="s">
        <v>245</v>
      </c>
      <c r="M95" s="20" t="s">
        <v>245</v>
      </c>
      <c r="N95" s="18">
        <v>7800</v>
      </c>
      <c r="O95" s="20" t="s">
        <v>245</v>
      </c>
      <c r="P95" s="20" t="s">
        <v>245</v>
      </c>
      <c r="Q95" s="20" t="s">
        <v>245</v>
      </c>
      <c r="R95" s="18" t="s">
        <v>245</v>
      </c>
      <c r="S95" s="18">
        <v>0</v>
      </c>
      <c r="T95" s="20">
        <v>0</v>
      </c>
      <c r="U95" s="20">
        <v>0</v>
      </c>
      <c r="V95" s="18">
        <v>0</v>
      </c>
      <c r="W95" s="18">
        <v>0</v>
      </c>
    </row>
    <row r="96" spans="2:23" ht="39.75" customHeight="1" x14ac:dyDescent="0.2">
      <c r="B96" s="16" t="s">
        <v>338</v>
      </c>
      <c r="C96" s="16">
        <v>2017</v>
      </c>
      <c r="D96" s="7" t="s">
        <v>69</v>
      </c>
      <c r="E96" s="7" t="s">
        <v>339</v>
      </c>
      <c r="F96" s="26" t="s">
        <v>341</v>
      </c>
      <c r="G96" s="7" t="s">
        <v>340</v>
      </c>
      <c r="H96" s="26" t="s">
        <v>241</v>
      </c>
      <c r="I96" s="17"/>
      <c r="J96" s="20" t="s">
        <v>245</v>
      </c>
      <c r="K96" s="20" t="s">
        <v>245</v>
      </c>
      <c r="L96" s="20" t="s">
        <v>245</v>
      </c>
      <c r="M96" s="20" t="s">
        <v>245</v>
      </c>
      <c r="N96" s="18">
        <v>7800</v>
      </c>
      <c r="O96" s="20" t="s">
        <v>245</v>
      </c>
      <c r="P96" s="20" t="s">
        <v>245</v>
      </c>
      <c r="Q96" s="20" t="s">
        <v>245</v>
      </c>
      <c r="R96" s="18" t="s">
        <v>245</v>
      </c>
      <c r="S96" s="18">
        <v>0</v>
      </c>
      <c r="T96" s="20">
        <v>0</v>
      </c>
      <c r="U96" s="20">
        <v>0</v>
      </c>
      <c r="V96" s="18">
        <v>0</v>
      </c>
      <c r="W96" s="18">
        <v>0</v>
      </c>
    </row>
    <row r="97" spans="2:21" ht="15" x14ac:dyDescent="0.2">
      <c r="B97" s="4"/>
      <c r="C97" s="4"/>
      <c r="D97" s="1"/>
      <c r="E97" s="1"/>
      <c r="F97" s="1"/>
      <c r="G97" s="1"/>
      <c r="H97" s="1"/>
      <c r="I97" s="6"/>
      <c r="J97" s="2"/>
      <c r="K97" s="2"/>
      <c r="L97" s="3"/>
      <c r="M97" s="2"/>
      <c r="N97" s="2"/>
      <c r="O97" s="2"/>
      <c r="P97" s="2"/>
    </row>
    <row r="98" spans="2:21" ht="29.25" customHeight="1" x14ac:dyDescent="0.2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  <c r="U98" s="67"/>
    </row>
    <row r="99" spans="2:21" ht="15" x14ac:dyDescent="0.2">
      <c r="B99" s="4"/>
      <c r="C99" s="4"/>
      <c r="D99" s="1"/>
      <c r="E99" s="1"/>
      <c r="F99" s="1"/>
      <c r="G99" s="1"/>
      <c r="H99" s="1"/>
      <c r="I99" s="6"/>
      <c r="J99" s="2"/>
      <c r="K99" s="2"/>
      <c r="L99" s="3"/>
      <c r="M99" s="2"/>
      <c r="N99" s="2"/>
      <c r="O99" s="2"/>
      <c r="P99" s="2"/>
    </row>
    <row r="100" spans="2:21" ht="15" x14ac:dyDescent="0.2">
      <c r="B100" s="4"/>
      <c r="C100" s="4"/>
      <c r="D100" s="1"/>
      <c r="E100" s="1"/>
      <c r="F100" s="1"/>
      <c r="G100" s="1"/>
      <c r="H100" s="1"/>
      <c r="I100" s="6"/>
      <c r="J100" s="2"/>
      <c r="K100" s="2"/>
      <c r="L100" s="3"/>
      <c r="M100" s="2"/>
      <c r="N100" s="2"/>
      <c r="O100" s="2"/>
      <c r="P100" s="2"/>
    </row>
    <row r="101" spans="2:21" ht="15" x14ac:dyDescent="0.2">
      <c r="B101" s="4"/>
      <c r="C101" s="4"/>
      <c r="D101" s="1"/>
      <c r="E101" s="1"/>
      <c r="F101" s="1"/>
      <c r="G101" s="1"/>
      <c r="H101" s="1"/>
      <c r="I101" s="6"/>
      <c r="J101" s="2"/>
      <c r="K101" s="2"/>
      <c r="L101" s="3"/>
      <c r="M101" s="2"/>
      <c r="N101" s="2"/>
      <c r="O101" s="2"/>
      <c r="P101" s="2"/>
    </row>
    <row r="102" spans="2:21" ht="15" x14ac:dyDescent="0.2">
      <c r="B102" s="4"/>
      <c r="C102" s="4"/>
      <c r="D102" s="1"/>
      <c r="E102" s="1"/>
      <c r="F102" s="1"/>
      <c r="G102" s="1"/>
      <c r="H102" s="1"/>
      <c r="I102" s="6"/>
      <c r="J102" s="2"/>
      <c r="K102" s="2"/>
      <c r="L102" s="3"/>
      <c r="M102" s="2"/>
      <c r="N102" s="2"/>
      <c r="O102" s="2"/>
      <c r="P102" s="2"/>
    </row>
    <row r="103" spans="2:21" ht="15" x14ac:dyDescent="0.2">
      <c r="B103" s="4"/>
      <c r="C103" s="4"/>
      <c r="D103" s="1"/>
      <c r="E103" s="1"/>
      <c r="F103" s="1"/>
      <c r="G103" s="1"/>
      <c r="H103" s="1"/>
      <c r="I103" s="6"/>
      <c r="J103" s="2"/>
      <c r="K103" s="2"/>
      <c r="L103" s="3"/>
      <c r="M103" s="2"/>
      <c r="N103" s="2"/>
      <c r="O103" s="2"/>
      <c r="P103" s="2"/>
    </row>
    <row r="104" spans="2:21" ht="15" x14ac:dyDescent="0.2">
      <c r="B104" s="4"/>
      <c r="C104" s="4"/>
      <c r="D104" s="1"/>
      <c r="E104" s="1"/>
      <c r="F104" s="1"/>
      <c r="G104" s="1"/>
      <c r="H104" s="1"/>
      <c r="I104" s="6"/>
      <c r="J104" s="2"/>
      <c r="K104" s="2"/>
      <c r="L104" s="3"/>
      <c r="M104" s="2"/>
      <c r="N104" s="2"/>
      <c r="O104" s="2"/>
      <c r="P104" s="2"/>
    </row>
    <row r="105" spans="2:21" ht="15" x14ac:dyDescent="0.2">
      <c r="B105" s="4"/>
      <c r="C105" s="4"/>
      <c r="D105" s="1"/>
      <c r="E105" s="1"/>
      <c r="F105" s="1"/>
      <c r="G105" s="1"/>
      <c r="H105" s="1"/>
      <c r="I105" s="6"/>
      <c r="J105" s="2"/>
      <c r="K105" s="2"/>
      <c r="L105" s="3"/>
      <c r="M105" s="2"/>
      <c r="N105" s="2"/>
      <c r="O105" s="2"/>
      <c r="P105" s="2"/>
    </row>
    <row r="106" spans="2:21" ht="15" x14ac:dyDescent="0.2">
      <c r="B106" s="4"/>
      <c r="C106" s="4"/>
      <c r="D106" s="1"/>
      <c r="E106" s="1"/>
      <c r="F106" s="1"/>
      <c r="G106" s="1"/>
      <c r="H106" s="1"/>
      <c r="I106" s="6"/>
      <c r="J106" s="2"/>
      <c r="K106" s="2"/>
      <c r="L106" s="3"/>
      <c r="M106" s="2"/>
      <c r="N106" s="2"/>
      <c r="O106" s="2"/>
      <c r="P106" s="2"/>
    </row>
    <row r="107" spans="2:21" ht="15" x14ac:dyDescent="0.2">
      <c r="B107" s="4"/>
      <c r="C107" s="4"/>
      <c r="D107" s="1"/>
      <c r="E107" s="1"/>
      <c r="F107" s="1"/>
      <c r="G107" s="1"/>
      <c r="H107" s="1"/>
      <c r="I107" s="6"/>
      <c r="J107" s="2"/>
      <c r="K107" s="2"/>
      <c r="L107" s="3"/>
      <c r="M107" s="2"/>
      <c r="N107" s="2"/>
      <c r="O107" s="2"/>
      <c r="P107" s="2"/>
    </row>
    <row r="108" spans="2:21" ht="15" x14ac:dyDescent="0.2">
      <c r="B108" s="4"/>
      <c r="C108" s="4"/>
      <c r="D108" s="1"/>
      <c r="E108" s="1"/>
      <c r="F108" s="1"/>
      <c r="G108" s="1"/>
      <c r="H108" s="1"/>
      <c r="I108" s="6"/>
      <c r="J108" s="2"/>
      <c r="K108" s="2"/>
      <c r="L108" s="3"/>
      <c r="M108" s="2"/>
      <c r="N108" s="2"/>
      <c r="O108" s="2"/>
      <c r="P108" s="2"/>
    </row>
    <row r="109" spans="2:21" ht="15" x14ac:dyDescent="0.2">
      <c r="B109" s="4"/>
      <c r="C109" s="4"/>
      <c r="D109" s="1"/>
      <c r="E109" s="1"/>
      <c r="F109" s="1"/>
      <c r="G109" s="1"/>
      <c r="H109" s="1"/>
      <c r="I109" s="6"/>
      <c r="J109" s="2"/>
      <c r="K109" s="2"/>
      <c r="L109" s="3"/>
      <c r="M109" s="2"/>
      <c r="N109" s="2"/>
      <c r="O109" s="2"/>
      <c r="P109" s="2"/>
    </row>
    <row r="110" spans="2:21" ht="15" x14ac:dyDescent="0.2">
      <c r="B110" s="4"/>
      <c r="C110" s="4"/>
      <c r="D110" s="1"/>
      <c r="E110" s="1"/>
      <c r="F110" s="1"/>
      <c r="G110" s="1"/>
      <c r="H110" s="1"/>
      <c r="I110" s="6"/>
      <c r="J110" s="2"/>
      <c r="K110" s="2"/>
      <c r="L110" s="3"/>
      <c r="M110" s="2"/>
      <c r="N110" s="2"/>
      <c r="O110" s="2"/>
      <c r="P110" s="2"/>
    </row>
    <row r="111" spans="2:21" ht="15" x14ac:dyDescent="0.2">
      <c r="B111" s="4"/>
      <c r="C111" s="4"/>
      <c r="D111" s="1"/>
      <c r="E111" s="1"/>
      <c r="F111" s="1"/>
      <c r="G111" s="1"/>
      <c r="H111" s="1"/>
      <c r="I111" s="6"/>
      <c r="J111" s="2"/>
      <c r="K111" s="2"/>
      <c r="L111" s="3"/>
      <c r="M111" s="2"/>
      <c r="N111" s="2"/>
      <c r="O111" s="2"/>
      <c r="P111" s="2"/>
    </row>
    <row r="112" spans="2:21" ht="15" x14ac:dyDescent="0.2">
      <c r="B112" s="4"/>
      <c r="C112" s="4"/>
      <c r="D112" s="1"/>
      <c r="E112" s="1"/>
      <c r="F112" s="1"/>
      <c r="G112" s="1"/>
      <c r="H112" s="1"/>
      <c r="I112" s="6"/>
      <c r="J112" s="2"/>
      <c r="K112" s="2"/>
      <c r="L112" s="3"/>
      <c r="M112" s="2"/>
      <c r="N112" s="2"/>
      <c r="O112" s="2"/>
      <c r="P112" s="2"/>
    </row>
    <row r="113" spans="2:16" ht="15" x14ac:dyDescent="0.2">
      <c r="B113" s="4"/>
      <c r="C113" s="4"/>
      <c r="D113" s="1"/>
      <c r="E113" s="1"/>
      <c r="F113" s="1"/>
      <c r="G113" s="1"/>
      <c r="H113" s="1"/>
      <c r="I113" s="6"/>
      <c r="J113" s="2"/>
      <c r="K113" s="2"/>
      <c r="L113" s="3"/>
      <c r="M113" s="2"/>
      <c r="N113" s="2"/>
      <c r="O113" s="2"/>
      <c r="P113" s="2"/>
    </row>
    <row r="114" spans="2:16" ht="15" x14ac:dyDescent="0.2">
      <c r="B114" s="4"/>
      <c r="C114" s="4"/>
      <c r="D114" s="1"/>
      <c r="E114" s="1"/>
      <c r="F114" s="1"/>
      <c r="G114" s="1"/>
      <c r="H114" s="1"/>
      <c r="I114" s="6"/>
      <c r="J114" s="2"/>
      <c r="K114" s="2"/>
      <c r="L114" s="3"/>
      <c r="M114" s="2"/>
      <c r="N114" s="2"/>
      <c r="O114" s="2"/>
      <c r="P114" s="2"/>
    </row>
    <row r="115" spans="2:16" ht="15" x14ac:dyDescent="0.2">
      <c r="B115" s="4"/>
      <c r="C115" s="4"/>
      <c r="D115" s="1"/>
      <c r="E115" s="1"/>
      <c r="F115" s="1"/>
      <c r="G115" s="1"/>
      <c r="H115" s="1"/>
      <c r="I115" s="6"/>
      <c r="J115" s="2"/>
      <c r="K115" s="2"/>
      <c r="L115" s="3"/>
      <c r="M115" s="2"/>
      <c r="N115" s="2"/>
      <c r="O115" s="2"/>
      <c r="P115" s="2"/>
    </row>
    <row r="116" spans="2:16" ht="15" x14ac:dyDescent="0.2">
      <c r="B116" s="4"/>
      <c r="C116" s="4"/>
      <c r="D116" s="1"/>
      <c r="E116" s="1"/>
      <c r="F116" s="1"/>
      <c r="G116" s="1"/>
      <c r="H116" s="1"/>
      <c r="I116" s="6"/>
      <c r="J116" s="2"/>
      <c r="K116" s="2"/>
      <c r="L116" s="3"/>
      <c r="M116" s="2"/>
      <c r="N116" s="2"/>
      <c r="O116" s="2"/>
      <c r="P116" s="2"/>
    </row>
    <row r="117" spans="2:16" ht="15" x14ac:dyDescent="0.2">
      <c r="B117" s="4"/>
      <c r="C117" s="4"/>
      <c r="D117" s="1"/>
      <c r="E117" s="1"/>
      <c r="F117" s="1"/>
      <c r="G117" s="1"/>
      <c r="H117" s="1"/>
      <c r="I117" s="6"/>
      <c r="J117" s="2"/>
      <c r="K117" s="2"/>
      <c r="L117" s="3"/>
      <c r="M117" s="2"/>
      <c r="N117" s="2"/>
      <c r="O117" s="2"/>
      <c r="P117" s="2"/>
    </row>
    <row r="118" spans="2:16" ht="15" x14ac:dyDescent="0.2">
      <c r="B118" s="4"/>
      <c r="C118" s="4"/>
      <c r="D118" s="1"/>
      <c r="E118" s="1"/>
      <c r="F118" s="1"/>
      <c r="G118" s="1"/>
      <c r="H118" s="1"/>
      <c r="I118" s="6"/>
      <c r="J118" s="2"/>
      <c r="K118" s="2"/>
      <c r="L118" s="3"/>
      <c r="M118" s="2"/>
      <c r="N118" s="2"/>
      <c r="O118" s="2"/>
      <c r="P118" s="2"/>
    </row>
    <row r="119" spans="2:16" ht="15" x14ac:dyDescent="0.2">
      <c r="B119" s="4"/>
      <c r="C119" s="4"/>
      <c r="D119" s="1"/>
      <c r="E119" s="1"/>
      <c r="F119" s="1"/>
      <c r="G119" s="1"/>
      <c r="H119" s="1"/>
      <c r="I119" s="6"/>
      <c r="J119" s="2"/>
      <c r="K119" s="2"/>
      <c r="L119" s="3"/>
      <c r="M119" s="2"/>
      <c r="N119" s="2"/>
      <c r="O119" s="2"/>
      <c r="P119" s="2"/>
    </row>
    <row r="120" spans="2:16" ht="15" x14ac:dyDescent="0.2">
      <c r="B120" s="4"/>
      <c r="C120" s="4"/>
      <c r="D120" s="1"/>
      <c r="E120" s="1"/>
      <c r="F120" s="1"/>
      <c r="G120" s="1"/>
      <c r="H120" s="1"/>
      <c r="I120" s="6"/>
      <c r="J120" s="2"/>
      <c r="K120" s="2"/>
      <c r="L120" s="3"/>
      <c r="M120" s="2"/>
      <c r="N120" s="2"/>
      <c r="O120" s="2"/>
      <c r="P120" s="2"/>
    </row>
    <row r="121" spans="2:16" ht="15" x14ac:dyDescent="0.2">
      <c r="B121" s="4"/>
      <c r="C121" s="4"/>
      <c r="D121" s="1"/>
      <c r="E121" s="1"/>
      <c r="F121" s="1"/>
      <c r="G121" s="1"/>
      <c r="H121" s="1"/>
      <c r="I121" s="6"/>
      <c r="J121" s="2"/>
      <c r="K121" s="2"/>
      <c r="L121" s="3"/>
      <c r="M121" s="2"/>
      <c r="N121" s="2"/>
      <c r="O121" s="2"/>
      <c r="P121" s="2"/>
    </row>
    <row r="122" spans="2:16" ht="15" x14ac:dyDescent="0.2">
      <c r="B122" s="4"/>
      <c r="C122" s="4"/>
      <c r="D122" s="1"/>
      <c r="E122" s="1"/>
      <c r="F122" s="1"/>
      <c r="G122" s="1"/>
      <c r="H122" s="1"/>
      <c r="I122" s="6"/>
      <c r="J122" s="2"/>
      <c r="K122" s="2"/>
      <c r="L122" s="3"/>
      <c r="M122" s="2"/>
      <c r="N122" s="2"/>
      <c r="O122" s="2"/>
      <c r="P122" s="2"/>
    </row>
    <row r="123" spans="2:16" ht="15" x14ac:dyDescent="0.2">
      <c r="B123" s="4"/>
      <c r="C123" s="4"/>
      <c r="D123" s="1"/>
      <c r="E123" s="1"/>
      <c r="F123" s="1"/>
      <c r="G123" s="1"/>
      <c r="H123" s="1"/>
      <c r="I123" s="6"/>
      <c r="J123" s="2"/>
      <c r="K123" s="2"/>
      <c r="L123" s="3"/>
      <c r="M123" s="2"/>
      <c r="N123" s="2"/>
      <c r="O123" s="2"/>
      <c r="P123" s="2"/>
    </row>
    <row r="124" spans="2:16" ht="15" x14ac:dyDescent="0.2">
      <c r="B124" s="4"/>
      <c r="C124" s="4"/>
      <c r="D124" s="1"/>
      <c r="E124" s="1"/>
      <c r="F124" s="1"/>
      <c r="G124" s="1"/>
      <c r="H124" s="1"/>
      <c r="I124" s="6"/>
      <c r="J124" s="2"/>
      <c r="K124" s="2"/>
      <c r="L124" s="3"/>
      <c r="M124" s="2"/>
      <c r="N124" s="2"/>
      <c r="O124" s="2"/>
      <c r="P124" s="2"/>
    </row>
    <row r="125" spans="2:16" ht="15" x14ac:dyDescent="0.2">
      <c r="B125" s="4"/>
      <c r="C125" s="4"/>
      <c r="D125" s="1"/>
      <c r="E125" s="1"/>
      <c r="F125" s="1"/>
      <c r="G125" s="1"/>
      <c r="H125" s="1"/>
      <c r="I125" s="6"/>
      <c r="J125" s="2"/>
      <c r="K125" s="2"/>
      <c r="L125" s="3"/>
      <c r="M125" s="2"/>
      <c r="N125" s="2"/>
      <c r="O125" s="2"/>
      <c r="P125" s="2"/>
    </row>
    <row r="126" spans="2:16" ht="15" x14ac:dyDescent="0.2">
      <c r="B126" s="4"/>
      <c r="C126" s="4"/>
      <c r="D126" s="1"/>
      <c r="E126" s="1"/>
      <c r="F126" s="1"/>
      <c r="G126" s="1"/>
      <c r="H126" s="1"/>
      <c r="I126" s="6"/>
      <c r="J126" s="2"/>
      <c r="K126" s="2"/>
      <c r="L126" s="3"/>
      <c r="M126" s="2"/>
      <c r="N126" s="2"/>
      <c r="O126" s="2"/>
      <c r="P126" s="2"/>
    </row>
    <row r="127" spans="2:16" ht="15" x14ac:dyDescent="0.2">
      <c r="B127" s="4"/>
      <c r="C127" s="4"/>
      <c r="D127" s="1"/>
      <c r="E127" s="1"/>
      <c r="F127" s="1"/>
      <c r="G127" s="1"/>
      <c r="H127" s="1"/>
      <c r="I127" s="6"/>
      <c r="J127" s="2"/>
      <c r="K127" s="2"/>
      <c r="L127" s="3"/>
      <c r="M127" s="2"/>
      <c r="N127" s="2"/>
      <c r="O127" s="2"/>
      <c r="P127" s="2"/>
    </row>
    <row r="128" spans="2:16" ht="15" x14ac:dyDescent="0.2">
      <c r="B128" s="4"/>
      <c r="C128" s="4"/>
      <c r="D128" s="1"/>
      <c r="E128" s="1"/>
      <c r="F128" s="1"/>
      <c r="G128" s="1"/>
      <c r="H128" s="1"/>
      <c r="I128" s="6"/>
      <c r="J128" s="2"/>
      <c r="K128" s="2"/>
      <c r="L128" s="3"/>
      <c r="M128" s="2"/>
      <c r="N128" s="2"/>
      <c r="O128" s="2"/>
      <c r="P128" s="2"/>
    </row>
    <row r="129" spans="2:16" ht="15" x14ac:dyDescent="0.2">
      <c r="B129" s="4"/>
      <c r="C129" s="4"/>
      <c r="D129" s="1"/>
      <c r="E129" s="1"/>
      <c r="F129" s="1"/>
      <c r="G129" s="1"/>
      <c r="H129" s="1"/>
      <c r="I129" s="6"/>
      <c r="J129" s="2"/>
      <c r="K129" s="2"/>
      <c r="L129" s="3"/>
      <c r="M129" s="2"/>
      <c r="N129" s="2"/>
      <c r="O129" s="2"/>
      <c r="P129" s="2"/>
    </row>
    <row r="130" spans="2:16" ht="15" x14ac:dyDescent="0.2">
      <c r="B130" s="4"/>
      <c r="C130" s="4"/>
      <c r="D130" s="1"/>
      <c r="E130" s="1"/>
      <c r="F130" s="1"/>
      <c r="G130" s="1"/>
      <c r="H130" s="1"/>
      <c r="I130" s="6"/>
      <c r="J130" s="2"/>
      <c r="K130" s="2"/>
      <c r="L130" s="3"/>
      <c r="M130" s="2"/>
      <c r="N130" s="2"/>
      <c r="O130" s="2"/>
      <c r="P130" s="2"/>
    </row>
    <row r="131" spans="2:16" ht="15" x14ac:dyDescent="0.2">
      <c r="B131" s="4"/>
      <c r="C131" s="4"/>
      <c r="D131" s="1"/>
      <c r="E131" s="1"/>
      <c r="F131" s="1"/>
      <c r="G131" s="1"/>
      <c r="H131" s="1"/>
      <c r="I131" s="6"/>
      <c r="J131" s="2"/>
      <c r="K131" s="2"/>
      <c r="L131" s="3"/>
      <c r="M131" s="2"/>
      <c r="N131" s="2"/>
      <c r="O131" s="2"/>
      <c r="P131" s="2"/>
    </row>
    <row r="132" spans="2:16" ht="15" x14ac:dyDescent="0.2">
      <c r="B132" s="4"/>
      <c r="C132" s="4"/>
      <c r="D132" s="1"/>
      <c r="E132" s="1"/>
      <c r="F132" s="1"/>
      <c r="G132" s="1"/>
      <c r="H132" s="1"/>
      <c r="I132" s="6"/>
      <c r="J132" s="2"/>
      <c r="K132" s="2"/>
      <c r="L132" s="3"/>
      <c r="M132" s="2"/>
      <c r="N132" s="2"/>
      <c r="O132" s="2"/>
      <c r="P132" s="2"/>
    </row>
    <row r="133" spans="2:16" ht="15" x14ac:dyDescent="0.2">
      <c r="B133" s="4"/>
      <c r="C133" s="4"/>
      <c r="D133" s="1"/>
      <c r="E133" s="1"/>
      <c r="F133" s="1"/>
      <c r="G133" s="1"/>
      <c r="H133" s="1"/>
      <c r="I133" s="6"/>
      <c r="J133" s="2"/>
      <c r="K133" s="2"/>
      <c r="L133" s="3"/>
      <c r="M133" s="2"/>
      <c r="N133" s="2"/>
      <c r="O133" s="2"/>
      <c r="P133" s="2"/>
    </row>
    <row r="134" spans="2:16" ht="15" x14ac:dyDescent="0.2">
      <c r="B134" s="4"/>
      <c r="C134" s="4"/>
      <c r="D134" s="1"/>
      <c r="E134" s="1"/>
      <c r="F134" s="1"/>
      <c r="G134" s="1"/>
      <c r="H134" s="1"/>
      <c r="I134" s="6"/>
      <c r="J134" s="2"/>
      <c r="K134" s="2"/>
      <c r="L134" s="3"/>
      <c r="M134" s="2"/>
      <c r="N134" s="2"/>
      <c r="O134" s="2"/>
      <c r="P134" s="2"/>
    </row>
    <row r="135" spans="2:16" ht="15" x14ac:dyDescent="0.2">
      <c r="B135" s="4"/>
      <c r="C135" s="4"/>
      <c r="D135" s="1"/>
      <c r="E135" s="1"/>
      <c r="F135" s="1"/>
      <c r="G135" s="1"/>
      <c r="H135" s="1"/>
      <c r="I135" s="6"/>
      <c r="J135" s="2"/>
      <c r="K135" s="2"/>
      <c r="L135" s="3"/>
      <c r="M135" s="2"/>
      <c r="N135" s="2"/>
      <c r="O135" s="2"/>
      <c r="P135" s="2"/>
    </row>
    <row r="136" spans="2:16" ht="15" x14ac:dyDescent="0.2">
      <c r="B136" s="4"/>
      <c r="C136" s="4"/>
      <c r="D136" s="1"/>
      <c r="E136" s="1"/>
      <c r="F136" s="1"/>
      <c r="G136" s="1"/>
      <c r="H136" s="1"/>
      <c r="I136" s="6"/>
      <c r="J136" s="2"/>
      <c r="K136" s="2"/>
      <c r="L136" s="3"/>
      <c r="M136" s="2"/>
      <c r="N136" s="2"/>
      <c r="O136" s="2"/>
      <c r="P136" s="2"/>
    </row>
    <row r="137" spans="2:16" ht="15" x14ac:dyDescent="0.2">
      <c r="B137" s="4"/>
      <c r="C137" s="4"/>
      <c r="D137" s="1"/>
      <c r="E137" s="1"/>
      <c r="F137" s="1"/>
      <c r="G137" s="1"/>
      <c r="H137" s="1"/>
      <c r="I137" s="6"/>
      <c r="J137" s="2"/>
      <c r="K137" s="2"/>
      <c r="L137" s="3"/>
      <c r="M137" s="2"/>
      <c r="N137" s="2"/>
      <c r="O137" s="2"/>
      <c r="P137" s="2"/>
    </row>
    <row r="138" spans="2:16" ht="15" x14ac:dyDescent="0.2">
      <c r="B138" s="4"/>
      <c r="C138" s="4"/>
      <c r="D138" s="1"/>
      <c r="E138" s="1"/>
      <c r="F138" s="1"/>
      <c r="G138" s="1"/>
      <c r="H138" s="1"/>
      <c r="I138" s="6"/>
      <c r="J138" s="2"/>
      <c r="K138" s="2"/>
      <c r="L138" s="3"/>
      <c r="M138" s="2"/>
      <c r="N138" s="2"/>
      <c r="O138" s="2"/>
      <c r="P138" s="2"/>
    </row>
    <row r="139" spans="2:16" ht="15" x14ac:dyDescent="0.2">
      <c r="B139" s="4"/>
      <c r="C139" s="4"/>
      <c r="D139" s="1"/>
      <c r="E139" s="1"/>
      <c r="F139" s="1"/>
      <c r="G139" s="1"/>
      <c r="H139" s="1"/>
      <c r="I139" s="6"/>
      <c r="J139" s="2"/>
      <c r="K139" s="2"/>
      <c r="L139" s="3"/>
      <c r="M139" s="2"/>
      <c r="N139" s="2"/>
      <c r="O139" s="2"/>
      <c r="P139" s="2"/>
    </row>
    <row r="140" spans="2:16" ht="15" x14ac:dyDescent="0.2">
      <c r="B140" s="4"/>
      <c r="C140" s="4"/>
      <c r="D140" s="1"/>
      <c r="E140" s="1"/>
      <c r="F140" s="1"/>
      <c r="G140" s="1"/>
      <c r="H140" s="1"/>
      <c r="I140" s="6"/>
      <c r="J140" s="2"/>
      <c r="K140" s="2"/>
      <c r="L140" s="3"/>
      <c r="M140" s="2"/>
      <c r="N140" s="2"/>
      <c r="O140" s="2"/>
      <c r="P140" s="2"/>
    </row>
    <row r="141" spans="2:16" ht="15" x14ac:dyDescent="0.2">
      <c r="B141" s="4"/>
      <c r="C141" s="4"/>
      <c r="D141" s="1"/>
      <c r="E141" s="1"/>
      <c r="F141" s="1"/>
      <c r="G141" s="1"/>
      <c r="H141" s="1"/>
      <c r="I141" s="6"/>
      <c r="J141" s="2"/>
      <c r="K141" s="2"/>
      <c r="L141" s="3"/>
      <c r="M141" s="2"/>
      <c r="N141" s="2"/>
      <c r="O141" s="2"/>
      <c r="P141" s="2"/>
    </row>
    <row r="142" spans="2:16" ht="15" x14ac:dyDescent="0.2">
      <c r="B142" s="4"/>
      <c r="C142" s="4"/>
      <c r="D142" s="1"/>
      <c r="E142" s="1"/>
      <c r="F142" s="1"/>
      <c r="G142" s="1"/>
      <c r="H142" s="1"/>
      <c r="I142" s="6"/>
      <c r="J142" s="2"/>
      <c r="K142" s="2"/>
      <c r="L142" s="3"/>
      <c r="M142" s="2"/>
      <c r="N142" s="2"/>
      <c r="O142" s="2"/>
      <c r="P142" s="2"/>
    </row>
    <row r="143" spans="2:16" ht="15" x14ac:dyDescent="0.2">
      <c r="B143" s="4"/>
      <c r="C143" s="4"/>
      <c r="D143" s="1"/>
      <c r="E143" s="1"/>
      <c r="F143" s="1"/>
      <c r="G143" s="1"/>
      <c r="H143" s="1"/>
      <c r="I143" s="6"/>
      <c r="J143" s="2"/>
      <c r="K143" s="2"/>
      <c r="L143" s="3"/>
      <c r="M143" s="2"/>
      <c r="N143" s="2"/>
      <c r="O143" s="2"/>
      <c r="P143" s="2"/>
    </row>
    <row r="144" spans="2:16" ht="15" x14ac:dyDescent="0.2">
      <c r="B144" s="4"/>
      <c r="C144" s="4"/>
      <c r="D144" s="1"/>
      <c r="E144" s="1"/>
      <c r="F144" s="1"/>
      <c r="G144" s="1"/>
      <c r="H144" s="1"/>
      <c r="I144" s="6"/>
      <c r="J144" s="2"/>
      <c r="K144" s="2"/>
      <c r="L144" s="3"/>
      <c r="M144" s="2"/>
      <c r="N144" s="2"/>
      <c r="O144" s="2"/>
      <c r="P144" s="2"/>
    </row>
    <row r="145" spans="2:16" ht="15" x14ac:dyDescent="0.2">
      <c r="B145" s="4"/>
      <c r="C145" s="4"/>
      <c r="D145" s="1"/>
      <c r="E145" s="1"/>
      <c r="F145" s="1"/>
      <c r="G145" s="1"/>
      <c r="H145" s="1"/>
      <c r="I145" s="6"/>
      <c r="J145" s="2"/>
      <c r="K145" s="2"/>
      <c r="L145" s="3"/>
      <c r="M145" s="2"/>
      <c r="N145" s="2"/>
      <c r="O145" s="2"/>
      <c r="P145" s="2"/>
    </row>
    <row r="146" spans="2:16" ht="15" x14ac:dyDescent="0.2">
      <c r="B146" s="4"/>
      <c r="C146" s="4"/>
      <c r="D146" s="1"/>
      <c r="E146" s="1"/>
      <c r="F146" s="1"/>
      <c r="G146" s="1"/>
      <c r="H146" s="1"/>
      <c r="I146" s="6"/>
      <c r="J146" s="2"/>
      <c r="K146" s="2"/>
      <c r="L146" s="3"/>
      <c r="M146" s="2"/>
      <c r="N146" s="2"/>
      <c r="O146" s="2"/>
      <c r="P146" s="2"/>
    </row>
    <row r="147" spans="2:16" ht="15" x14ac:dyDescent="0.2">
      <c r="B147" s="4"/>
      <c r="C147" s="4"/>
      <c r="D147" s="1"/>
      <c r="E147" s="1"/>
      <c r="F147" s="1"/>
      <c r="G147" s="1"/>
      <c r="H147" s="1"/>
      <c r="I147" s="6"/>
      <c r="J147" s="2"/>
      <c r="K147" s="2"/>
      <c r="L147" s="3"/>
      <c r="M147" s="2"/>
      <c r="N147" s="2"/>
      <c r="O147" s="2"/>
      <c r="P147" s="2"/>
    </row>
    <row r="148" spans="2:16" ht="15" x14ac:dyDescent="0.2">
      <c r="B148" s="4"/>
      <c r="C148" s="4"/>
      <c r="D148" s="1"/>
      <c r="E148" s="1"/>
      <c r="F148" s="1"/>
      <c r="G148" s="1"/>
      <c r="H148" s="1"/>
      <c r="I148" s="6"/>
      <c r="J148" s="2"/>
      <c r="K148" s="2"/>
      <c r="L148" s="3"/>
      <c r="M148" s="2"/>
      <c r="N148" s="2"/>
      <c r="O148" s="2"/>
      <c r="P148" s="2"/>
    </row>
    <row r="149" spans="2:16" ht="15" x14ac:dyDescent="0.2">
      <c r="B149" s="4"/>
      <c r="C149" s="4"/>
      <c r="D149" s="1"/>
      <c r="E149" s="1"/>
      <c r="F149" s="1"/>
      <c r="G149" s="1"/>
      <c r="H149" s="1"/>
      <c r="I149" s="6"/>
      <c r="J149" s="2"/>
      <c r="K149" s="2"/>
      <c r="L149" s="3"/>
      <c r="M149" s="2"/>
      <c r="N149" s="2"/>
      <c r="O149" s="2"/>
      <c r="P149" s="2"/>
    </row>
    <row r="150" spans="2:16" ht="15" x14ac:dyDescent="0.2">
      <c r="B150" s="4"/>
      <c r="C150" s="4"/>
      <c r="D150" s="1"/>
      <c r="E150" s="1"/>
      <c r="F150" s="1"/>
      <c r="G150" s="1"/>
      <c r="H150" s="1"/>
      <c r="I150" s="6"/>
      <c r="J150" s="2"/>
      <c r="K150" s="2"/>
      <c r="L150" s="3"/>
      <c r="M150" s="2"/>
      <c r="N150" s="2"/>
      <c r="O150" s="2"/>
      <c r="P150" s="2"/>
    </row>
    <row r="151" spans="2:16" ht="15" x14ac:dyDescent="0.2">
      <c r="B151" s="4"/>
      <c r="C151" s="4"/>
      <c r="D151" s="1"/>
      <c r="E151" s="1"/>
      <c r="F151" s="1"/>
      <c r="G151" s="1"/>
      <c r="H151" s="1"/>
      <c r="I151" s="6"/>
      <c r="J151" s="2"/>
      <c r="K151" s="2"/>
      <c r="L151" s="3"/>
      <c r="M151" s="2"/>
      <c r="N151" s="2"/>
      <c r="O151" s="2"/>
      <c r="P151" s="2"/>
    </row>
    <row r="152" spans="2:16" ht="15" x14ac:dyDescent="0.2">
      <c r="B152" s="4"/>
      <c r="C152" s="4"/>
      <c r="D152" s="1"/>
      <c r="E152" s="1"/>
      <c r="F152" s="1"/>
      <c r="G152" s="1"/>
      <c r="H152" s="1"/>
      <c r="I152" s="6"/>
      <c r="J152" s="2"/>
      <c r="K152" s="2"/>
      <c r="L152" s="3"/>
      <c r="M152" s="2"/>
      <c r="N152" s="2"/>
      <c r="O152" s="2"/>
      <c r="P152" s="2"/>
    </row>
    <row r="153" spans="2:16" ht="15" x14ac:dyDescent="0.2">
      <c r="B153" s="4"/>
      <c r="C153" s="4"/>
      <c r="D153" s="1"/>
      <c r="E153" s="1"/>
      <c r="F153" s="1"/>
      <c r="G153" s="1"/>
      <c r="H153" s="1"/>
      <c r="I153" s="6"/>
      <c r="J153" s="2"/>
      <c r="K153" s="2"/>
      <c r="L153" s="3"/>
      <c r="M153" s="2"/>
      <c r="N153" s="2"/>
      <c r="O153" s="2"/>
      <c r="P153" s="2"/>
    </row>
    <row r="154" spans="2:16" ht="15" x14ac:dyDescent="0.2">
      <c r="B154" s="4"/>
      <c r="C154" s="4"/>
      <c r="D154" s="1"/>
      <c r="E154" s="1"/>
      <c r="F154" s="1"/>
      <c r="G154" s="1"/>
      <c r="H154" s="1"/>
      <c r="I154" s="6"/>
      <c r="J154" s="2"/>
      <c r="K154" s="2"/>
      <c r="L154" s="3"/>
      <c r="M154" s="2"/>
      <c r="N154" s="2"/>
      <c r="O154" s="2"/>
      <c r="P154" s="2"/>
    </row>
    <row r="155" spans="2:16" ht="15" x14ac:dyDescent="0.2">
      <c r="B155" s="4"/>
      <c r="C155" s="4"/>
      <c r="D155" s="1"/>
      <c r="E155" s="1"/>
      <c r="F155" s="1"/>
      <c r="G155" s="1"/>
      <c r="H155" s="1"/>
      <c r="I155" s="6"/>
      <c r="J155" s="2"/>
      <c r="K155" s="2"/>
      <c r="L155" s="3"/>
      <c r="M155" s="2"/>
      <c r="N155" s="2"/>
      <c r="O155" s="2"/>
      <c r="P155" s="2"/>
    </row>
    <row r="156" spans="2:16" ht="15" x14ac:dyDescent="0.2">
      <c r="B156" s="4"/>
      <c r="C156" s="4"/>
      <c r="D156" s="1"/>
      <c r="E156" s="1"/>
      <c r="F156" s="1"/>
      <c r="G156" s="1"/>
      <c r="H156" s="1"/>
      <c r="I156" s="6"/>
      <c r="J156" s="2"/>
      <c r="K156" s="2"/>
      <c r="L156" s="3"/>
      <c r="M156" s="2"/>
      <c r="N156" s="2"/>
      <c r="O156" s="2"/>
      <c r="P156" s="2"/>
    </row>
    <row r="157" spans="2:16" ht="15" x14ac:dyDescent="0.2">
      <c r="B157" s="4"/>
      <c r="C157" s="4"/>
      <c r="D157" s="1"/>
      <c r="E157" s="1"/>
      <c r="F157" s="1"/>
      <c r="G157" s="1"/>
      <c r="H157" s="1"/>
      <c r="I157" s="6"/>
      <c r="J157" s="2"/>
      <c r="K157" s="2"/>
      <c r="L157" s="3"/>
      <c r="M157" s="2"/>
      <c r="N157" s="2"/>
      <c r="O157" s="2"/>
      <c r="P157" s="2"/>
    </row>
    <row r="158" spans="2:16" ht="15" x14ac:dyDescent="0.2">
      <c r="B158" s="4"/>
      <c r="C158" s="4"/>
      <c r="D158" s="1"/>
      <c r="E158" s="1"/>
      <c r="F158" s="1"/>
      <c r="G158" s="1"/>
      <c r="H158" s="1"/>
      <c r="I158" s="6"/>
      <c r="J158" s="2"/>
      <c r="K158" s="2"/>
      <c r="L158" s="3"/>
      <c r="M158" s="2"/>
      <c r="N158" s="2"/>
      <c r="O158" s="2"/>
      <c r="P158" s="2"/>
    </row>
    <row r="159" spans="2:16" ht="15" x14ac:dyDescent="0.2">
      <c r="B159" s="4"/>
      <c r="C159" s="4"/>
      <c r="D159" s="1"/>
      <c r="E159" s="1"/>
      <c r="F159" s="1"/>
      <c r="G159" s="1"/>
      <c r="H159" s="1"/>
      <c r="I159" s="6"/>
      <c r="J159" s="2"/>
      <c r="K159" s="2"/>
      <c r="L159" s="3"/>
      <c r="M159" s="2"/>
      <c r="N159" s="2"/>
      <c r="O159" s="2"/>
      <c r="P159" s="2"/>
    </row>
    <row r="160" spans="2:16" ht="15" x14ac:dyDescent="0.2">
      <c r="B160" s="4"/>
      <c r="C160" s="4"/>
      <c r="D160" s="1"/>
      <c r="E160" s="1"/>
      <c r="F160" s="1"/>
      <c r="G160" s="1"/>
      <c r="H160" s="1"/>
      <c r="I160" s="6"/>
      <c r="J160" s="2"/>
      <c r="K160" s="2"/>
      <c r="L160" s="3"/>
      <c r="M160" s="2"/>
      <c r="N160" s="2"/>
      <c r="O160" s="2"/>
      <c r="P160" s="2"/>
    </row>
    <row r="161" spans="2:16" ht="15" x14ac:dyDescent="0.2">
      <c r="B161" s="4"/>
      <c r="C161" s="4"/>
      <c r="D161" s="1"/>
      <c r="E161" s="1"/>
      <c r="F161" s="1"/>
      <c r="G161" s="1"/>
      <c r="H161" s="1"/>
      <c r="I161" s="6"/>
      <c r="J161" s="2"/>
      <c r="K161" s="2"/>
      <c r="L161" s="3"/>
      <c r="M161" s="2"/>
      <c r="N161" s="2"/>
      <c r="O161" s="2"/>
      <c r="P161" s="2"/>
    </row>
    <row r="162" spans="2:16" ht="15" x14ac:dyDescent="0.2">
      <c r="B162" s="4"/>
      <c r="C162" s="4"/>
      <c r="D162" s="1"/>
      <c r="E162" s="1"/>
      <c r="F162" s="1"/>
      <c r="G162" s="1"/>
      <c r="H162" s="1"/>
      <c r="I162" s="6"/>
      <c r="J162" s="2"/>
      <c r="K162" s="2"/>
      <c r="L162" s="3"/>
      <c r="M162" s="2"/>
      <c r="N162" s="2"/>
      <c r="O162" s="2"/>
      <c r="P162" s="2"/>
    </row>
    <row r="163" spans="2:16" ht="15" x14ac:dyDescent="0.2">
      <c r="B163" s="4"/>
      <c r="C163" s="4"/>
      <c r="D163" s="1"/>
      <c r="E163" s="1"/>
      <c r="F163" s="1"/>
      <c r="G163" s="1"/>
      <c r="H163" s="1"/>
      <c r="I163" s="6"/>
      <c r="J163" s="2"/>
      <c r="K163" s="2"/>
      <c r="L163" s="3"/>
      <c r="M163" s="2"/>
      <c r="N163" s="2"/>
      <c r="O163" s="2"/>
      <c r="P163" s="2"/>
    </row>
    <row r="164" spans="2:16" ht="15" x14ac:dyDescent="0.2">
      <c r="B164" s="4"/>
      <c r="C164" s="4"/>
      <c r="D164" s="1"/>
      <c r="E164" s="1"/>
      <c r="F164" s="1"/>
      <c r="G164" s="1"/>
      <c r="H164" s="1"/>
      <c r="I164" s="6"/>
      <c r="J164" s="2"/>
      <c r="K164" s="2"/>
      <c r="L164" s="3"/>
      <c r="M164" s="2"/>
      <c r="N164" s="2"/>
      <c r="O164" s="2"/>
      <c r="P164" s="2"/>
    </row>
    <row r="165" spans="2:16" ht="15" x14ac:dyDescent="0.2">
      <c r="B165" s="4"/>
      <c r="C165" s="4"/>
      <c r="D165" s="1"/>
      <c r="E165" s="1"/>
      <c r="F165" s="1"/>
      <c r="G165" s="1"/>
      <c r="H165" s="1"/>
      <c r="I165" s="6"/>
      <c r="J165" s="2"/>
      <c r="K165" s="2"/>
      <c r="L165" s="3"/>
      <c r="M165" s="2"/>
      <c r="N165" s="2"/>
      <c r="O165" s="2"/>
      <c r="P165" s="2"/>
    </row>
    <row r="166" spans="2:16" ht="15" x14ac:dyDescent="0.2">
      <c r="B166" s="4"/>
      <c r="C166" s="4"/>
      <c r="D166" s="1"/>
      <c r="E166" s="1"/>
      <c r="F166" s="1"/>
      <c r="G166" s="1"/>
      <c r="H166" s="1"/>
      <c r="I166" s="6"/>
      <c r="J166" s="2"/>
      <c r="K166" s="2"/>
      <c r="L166" s="3"/>
      <c r="M166" s="2"/>
      <c r="N166" s="2"/>
      <c r="O166" s="2"/>
      <c r="P166" s="2"/>
    </row>
    <row r="167" spans="2:16" ht="15" x14ac:dyDescent="0.2">
      <c r="B167" s="4"/>
      <c r="C167" s="4"/>
      <c r="D167" s="1"/>
      <c r="E167" s="1"/>
      <c r="F167" s="1"/>
      <c r="G167" s="1"/>
      <c r="H167" s="1"/>
      <c r="I167" s="6"/>
      <c r="J167" s="2"/>
      <c r="K167" s="2"/>
      <c r="L167" s="3"/>
      <c r="M167" s="2"/>
      <c r="N167" s="2"/>
      <c r="O167" s="2"/>
      <c r="P167" s="2"/>
    </row>
    <row r="168" spans="2:16" ht="15" x14ac:dyDescent="0.2">
      <c r="B168" s="4"/>
      <c r="C168" s="4"/>
      <c r="D168" s="1"/>
      <c r="E168" s="1"/>
      <c r="F168" s="1"/>
      <c r="G168" s="1"/>
      <c r="H168" s="1"/>
      <c r="I168" s="6"/>
      <c r="J168" s="2"/>
      <c r="K168" s="2"/>
      <c r="L168" s="3"/>
      <c r="M168" s="2"/>
      <c r="N168" s="2"/>
      <c r="O168" s="2"/>
      <c r="P168" s="2"/>
    </row>
    <row r="169" spans="2:16" ht="15" x14ac:dyDescent="0.2">
      <c r="B169" s="4"/>
      <c r="C169" s="4"/>
      <c r="D169" s="1"/>
      <c r="E169" s="1"/>
      <c r="F169" s="1"/>
      <c r="G169" s="1"/>
      <c r="H169" s="1"/>
      <c r="I169" s="6"/>
      <c r="J169" s="2"/>
      <c r="K169" s="2"/>
      <c r="L169" s="3"/>
      <c r="M169" s="2"/>
      <c r="N169" s="2"/>
      <c r="O169" s="2"/>
      <c r="P169" s="2"/>
    </row>
    <row r="170" spans="2:16" ht="15" x14ac:dyDescent="0.2">
      <c r="B170" s="4"/>
      <c r="C170" s="4"/>
      <c r="D170" s="1"/>
      <c r="E170" s="1"/>
      <c r="F170" s="1"/>
      <c r="G170" s="1"/>
      <c r="H170" s="1"/>
      <c r="I170" s="6"/>
      <c r="J170" s="2"/>
      <c r="K170" s="2"/>
      <c r="L170" s="3"/>
      <c r="M170" s="2"/>
      <c r="N170" s="2"/>
      <c r="O170" s="2"/>
      <c r="P170" s="2"/>
    </row>
    <row r="171" spans="2:16" ht="15" x14ac:dyDescent="0.2">
      <c r="B171" s="4"/>
      <c r="C171" s="4"/>
      <c r="D171" s="1"/>
      <c r="E171" s="1"/>
      <c r="F171" s="1"/>
      <c r="G171" s="1"/>
      <c r="H171" s="1"/>
      <c r="I171" s="6"/>
      <c r="J171" s="2"/>
      <c r="K171" s="2"/>
      <c r="L171" s="3"/>
      <c r="M171" s="2"/>
      <c r="N171" s="2"/>
      <c r="O171" s="2"/>
      <c r="P171" s="2"/>
    </row>
    <row r="172" spans="2:16" ht="15" x14ac:dyDescent="0.2">
      <c r="B172" s="4"/>
      <c r="C172" s="4"/>
      <c r="D172" s="1"/>
      <c r="E172" s="1"/>
      <c r="F172" s="1"/>
      <c r="G172" s="1"/>
      <c r="H172" s="1"/>
      <c r="I172" s="6"/>
      <c r="J172" s="2"/>
      <c r="K172" s="2"/>
      <c r="L172" s="3"/>
      <c r="M172" s="2"/>
      <c r="N172" s="2"/>
      <c r="O172" s="2"/>
      <c r="P172" s="2"/>
    </row>
    <row r="173" spans="2:16" ht="15" x14ac:dyDescent="0.2">
      <c r="B173" s="4"/>
      <c r="C173" s="4"/>
      <c r="D173" s="1"/>
      <c r="E173" s="1"/>
      <c r="F173" s="1"/>
      <c r="G173" s="1"/>
      <c r="H173" s="1"/>
      <c r="I173" s="6"/>
      <c r="J173" s="2"/>
      <c r="K173" s="2"/>
      <c r="L173" s="3"/>
      <c r="M173" s="2"/>
      <c r="N173" s="2"/>
      <c r="O173" s="2"/>
      <c r="P173" s="2"/>
    </row>
    <row r="174" spans="2:16" ht="15" x14ac:dyDescent="0.2">
      <c r="B174" s="4"/>
      <c r="C174" s="4"/>
      <c r="D174" s="1"/>
      <c r="E174" s="1"/>
      <c r="F174" s="1"/>
      <c r="G174" s="1"/>
      <c r="H174" s="1"/>
      <c r="I174" s="6"/>
      <c r="J174" s="2"/>
      <c r="K174" s="2"/>
      <c r="L174" s="3"/>
      <c r="M174" s="2"/>
      <c r="N174" s="2"/>
      <c r="O174" s="2"/>
      <c r="P174" s="2"/>
    </row>
    <row r="175" spans="2:16" ht="15" x14ac:dyDescent="0.2">
      <c r="B175" s="4"/>
      <c r="C175" s="4"/>
      <c r="D175" s="1"/>
      <c r="E175" s="1"/>
      <c r="F175" s="1"/>
      <c r="G175" s="1"/>
      <c r="H175" s="1"/>
      <c r="I175" s="6"/>
      <c r="J175" s="2"/>
      <c r="K175" s="2"/>
      <c r="L175" s="3"/>
      <c r="M175" s="2"/>
      <c r="N175" s="2"/>
      <c r="O175" s="2"/>
      <c r="P175" s="2"/>
    </row>
    <row r="176" spans="2:16" ht="15" x14ac:dyDescent="0.2">
      <c r="B176" s="4"/>
      <c r="C176" s="4"/>
      <c r="D176" s="1"/>
      <c r="E176" s="1"/>
      <c r="F176" s="1"/>
      <c r="G176" s="1"/>
      <c r="H176" s="1"/>
      <c r="I176" s="6"/>
      <c r="J176" s="2"/>
      <c r="K176" s="2"/>
      <c r="L176" s="3"/>
      <c r="M176" s="2"/>
      <c r="N176" s="2"/>
      <c r="O176" s="2"/>
      <c r="P176" s="2"/>
    </row>
    <row r="177" spans="2:16" ht="15" x14ac:dyDescent="0.2">
      <c r="B177" s="4"/>
      <c r="C177" s="4"/>
      <c r="D177" s="1"/>
      <c r="E177" s="1"/>
      <c r="F177" s="1"/>
      <c r="G177" s="1"/>
      <c r="H177" s="1"/>
      <c r="I177" s="6"/>
      <c r="J177" s="2"/>
      <c r="K177" s="2"/>
      <c r="L177" s="3"/>
      <c r="M177" s="2"/>
      <c r="N177" s="2"/>
      <c r="O177" s="2"/>
      <c r="P177" s="2"/>
    </row>
    <row r="178" spans="2:16" ht="15" x14ac:dyDescent="0.2">
      <c r="B178" s="4"/>
      <c r="C178" s="4"/>
      <c r="D178" s="1"/>
      <c r="E178" s="1"/>
      <c r="F178" s="1"/>
      <c r="G178" s="1"/>
      <c r="H178" s="1"/>
      <c r="I178" s="6"/>
      <c r="J178" s="2"/>
      <c r="K178" s="2"/>
      <c r="L178" s="3"/>
      <c r="M178" s="2"/>
      <c r="N178" s="2"/>
      <c r="O178" s="2"/>
      <c r="P178" s="2"/>
    </row>
    <row r="179" spans="2:16" ht="15" x14ac:dyDescent="0.2">
      <c r="B179" s="4"/>
      <c r="C179" s="4"/>
      <c r="D179" s="1"/>
      <c r="E179" s="1"/>
      <c r="F179" s="1"/>
      <c r="G179" s="1"/>
      <c r="H179" s="1"/>
      <c r="I179" s="6"/>
      <c r="J179" s="2"/>
      <c r="K179" s="2"/>
      <c r="L179" s="3"/>
      <c r="M179" s="2"/>
      <c r="N179" s="2"/>
      <c r="O179" s="2"/>
      <c r="P179" s="2"/>
    </row>
    <row r="180" spans="2:16" ht="15" x14ac:dyDescent="0.2">
      <c r="B180" s="4"/>
      <c r="C180" s="4"/>
      <c r="D180" s="1"/>
      <c r="E180" s="1"/>
      <c r="F180" s="1"/>
      <c r="G180" s="1"/>
      <c r="H180" s="1"/>
      <c r="I180" s="6"/>
      <c r="J180" s="2"/>
      <c r="K180" s="2"/>
      <c r="L180" s="3"/>
      <c r="M180" s="2"/>
      <c r="N180" s="2"/>
      <c r="O180" s="2"/>
      <c r="P180" s="2"/>
    </row>
  </sheetData>
  <autoFilter ref="B4:U96"/>
  <mergeCells count="2">
    <mergeCell ref="B3:U3"/>
    <mergeCell ref="B98:U98"/>
  </mergeCells>
  <pageMargins left="0.19685039370078741" right="0.19685039370078741" top="0.39370078740157483" bottom="0.39370078740157483" header="0" footer="0"/>
  <pageSetup paperSize="9" scale="49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U235"/>
  <sheetViews>
    <sheetView topLeftCell="F1" workbookViewId="0">
      <pane ySplit="4" topLeftCell="A74" activePane="bottomLeft" state="frozen"/>
      <selection pane="bottomLeft" activeCell="J79" sqref="J79"/>
    </sheetView>
  </sheetViews>
  <sheetFormatPr defaultColWidth="14.42578125" defaultRowHeight="15.75" customHeight="1" x14ac:dyDescent="0.2"/>
  <cols>
    <col min="1" max="1" width="6.140625" customWidth="1"/>
    <col min="2" max="2" width="14.28515625" bestFit="1" customWidth="1"/>
    <col min="3" max="3" width="16.140625" style="5" customWidth="1"/>
    <col min="4" max="4" width="12.140625" style="5" customWidth="1"/>
    <col min="5" max="5" width="2.28515625" hidden="1" customWidth="1"/>
    <col min="6" max="6" width="60.140625" customWidth="1"/>
    <col min="7" max="7" width="19" customWidth="1"/>
    <col min="8" max="8" width="21.5703125" customWidth="1"/>
    <col min="9" max="9" width="55.28515625" hidden="1" customWidth="1"/>
    <col min="10" max="10" width="14" style="5" customWidth="1"/>
    <col min="11" max="11" width="15.28515625" hidden="1" customWidth="1"/>
    <col min="12" max="12" width="16.7109375" hidden="1" customWidth="1"/>
    <col min="13" max="13" width="17.140625" hidden="1" customWidth="1"/>
    <col min="14" max="14" width="17.28515625" hidden="1" customWidth="1"/>
    <col min="15" max="15" width="18.140625" hidden="1" customWidth="1"/>
    <col min="16" max="16" width="0" hidden="1" customWidth="1"/>
    <col min="17" max="17" width="15.28515625" hidden="1" customWidth="1"/>
    <col min="18" max="20" width="15.28515625" bestFit="1" customWidth="1"/>
  </cols>
  <sheetData>
    <row r="3" spans="2:21" ht="15.75" customHeight="1" x14ac:dyDescent="0.2">
      <c r="C3" s="68"/>
      <c r="D3" s="68"/>
      <c r="E3" s="68"/>
      <c r="F3" s="68"/>
      <c r="G3" s="68"/>
      <c r="H3" s="68"/>
      <c r="I3" s="68"/>
      <c r="J3" s="68"/>
    </row>
    <row r="4" spans="2:21" ht="29.25" customHeight="1" x14ac:dyDescent="0.2">
      <c r="B4" s="34" t="s">
        <v>551</v>
      </c>
      <c r="C4" s="35" t="s">
        <v>0</v>
      </c>
      <c r="D4" s="35" t="s">
        <v>1</v>
      </c>
      <c r="E4" s="39" t="s">
        <v>2</v>
      </c>
      <c r="F4" s="35" t="s">
        <v>3</v>
      </c>
      <c r="G4" s="35" t="s">
        <v>4</v>
      </c>
      <c r="H4" s="35" t="s">
        <v>5</v>
      </c>
      <c r="I4" s="39" t="s">
        <v>6</v>
      </c>
      <c r="J4" s="36" t="s">
        <v>7</v>
      </c>
      <c r="K4" s="33">
        <v>43160</v>
      </c>
      <c r="L4" s="33">
        <v>43191</v>
      </c>
      <c r="M4" s="33">
        <v>43221</v>
      </c>
      <c r="N4" s="33">
        <v>43252</v>
      </c>
      <c r="O4" s="33">
        <v>43282</v>
      </c>
      <c r="P4" s="33">
        <v>43313</v>
      </c>
      <c r="Q4" s="33">
        <v>43344</v>
      </c>
      <c r="R4" s="33">
        <v>43374</v>
      </c>
      <c r="S4" s="33">
        <v>43405</v>
      </c>
      <c r="T4" s="33">
        <v>43435</v>
      </c>
      <c r="U4" s="53">
        <v>43466</v>
      </c>
    </row>
    <row r="5" spans="2:21" ht="36" customHeight="1" x14ac:dyDescent="0.2">
      <c r="B5" s="19"/>
      <c r="C5" s="16" t="s">
        <v>226</v>
      </c>
      <c r="D5" s="16">
        <v>2017</v>
      </c>
      <c r="E5" s="38"/>
      <c r="F5" s="7" t="s">
        <v>306</v>
      </c>
      <c r="G5" s="7" t="s">
        <v>307</v>
      </c>
      <c r="H5" s="7"/>
      <c r="I5" s="38"/>
      <c r="J5" s="17" t="s">
        <v>569</v>
      </c>
      <c r="K5" s="41">
        <v>2454.2600000000002</v>
      </c>
      <c r="L5" s="41">
        <v>2537.37</v>
      </c>
      <c r="M5" s="41">
        <f>2606.23</f>
        <v>2606.23</v>
      </c>
      <c r="N5" s="41">
        <f>3285.96</f>
        <v>3285.96</v>
      </c>
      <c r="O5" s="41">
        <f>3327.22</f>
        <v>3327.22</v>
      </c>
      <c r="P5" s="41">
        <f>3652.22</f>
        <v>3652.22</v>
      </c>
      <c r="Q5" s="41">
        <f>3565.28</f>
        <v>3565.28</v>
      </c>
      <c r="R5" s="41">
        <v>0</v>
      </c>
      <c r="S5" s="41">
        <f>3393.78+3567.75</f>
        <v>6961.5300000000007</v>
      </c>
      <c r="T5" s="41">
        <v>0</v>
      </c>
      <c r="U5" s="41">
        <f>3539.05</f>
        <v>3539.05</v>
      </c>
    </row>
    <row r="6" spans="2:21" ht="36" customHeight="1" x14ac:dyDescent="0.2">
      <c r="B6" s="19"/>
      <c r="C6" s="16" t="s">
        <v>315</v>
      </c>
      <c r="D6" s="16">
        <v>2017</v>
      </c>
      <c r="E6" s="38"/>
      <c r="F6" s="7" t="s">
        <v>317</v>
      </c>
      <c r="G6" s="7" t="s">
        <v>318</v>
      </c>
      <c r="H6" s="7" t="s">
        <v>316</v>
      </c>
      <c r="I6" s="38"/>
      <c r="J6" s="17">
        <v>43392</v>
      </c>
      <c r="K6" s="41">
        <v>50160</v>
      </c>
      <c r="L6" s="41">
        <v>0</v>
      </c>
      <c r="M6" s="41">
        <v>0</v>
      </c>
      <c r="N6" s="41">
        <f>421344</f>
        <v>421344</v>
      </c>
      <c r="O6" s="41">
        <v>0</v>
      </c>
      <c r="P6" s="42">
        <v>0</v>
      </c>
      <c r="Q6" s="42">
        <v>0</v>
      </c>
      <c r="R6" s="42">
        <v>0</v>
      </c>
      <c r="S6" s="42">
        <v>0</v>
      </c>
      <c r="T6" s="41">
        <v>0</v>
      </c>
      <c r="U6" s="41">
        <v>0</v>
      </c>
    </row>
    <row r="7" spans="2:21" ht="36" customHeight="1" x14ac:dyDescent="0.2">
      <c r="B7" s="43" t="s">
        <v>550</v>
      </c>
      <c r="C7" s="16" t="s">
        <v>319</v>
      </c>
      <c r="D7" s="16">
        <v>2017</v>
      </c>
      <c r="E7" s="38"/>
      <c r="F7" s="7" t="s">
        <v>321</v>
      </c>
      <c r="G7" s="7" t="s">
        <v>322</v>
      </c>
      <c r="H7" s="7" t="s">
        <v>320</v>
      </c>
      <c r="I7" s="38"/>
      <c r="J7" s="17">
        <v>43279</v>
      </c>
      <c r="K7" s="41">
        <v>0</v>
      </c>
      <c r="L7" s="41">
        <v>0</v>
      </c>
      <c r="M7" s="41">
        <v>0</v>
      </c>
      <c r="N7" s="41">
        <v>0</v>
      </c>
      <c r="O7" s="41">
        <v>0</v>
      </c>
      <c r="P7" s="41">
        <f>10033</f>
        <v>10033</v>
      </c>
      <c r="Q7" s="41">
        <v>0</v>
      </c>
      <c r="R7" s="41">
        <v>0</v>
      </c>
      <c r="S7" s="41">
        <v>0</v>
      </c>
      <c r="T7" s="41">
        <v>0</v>
      </c>
      <c r="U7" s="41">
        <v>0</v>
      </c>
    </row>
    <row r="8" spans="2:21" ht="36" customHeight="1" x14ac:dyDescent="0.2">
      <c r="B8" s="19"/>
      <c r="C8" s="16" t="s">
        <v>350</v>
      </c>
      <c r="D8" s="16">
        <v>2017</v>
      </c>
      <c r="E8" s="38"/>
      <c r="F8" s="8" t="s">
        <v>330</v>
      </c>
      <c r="G8" s="7" t="s">
        <v>328</v>
      </c>
      <c r="H8" s="7" t="s">
        <v>349</v>
      </c>
      <c r="I8" s="38"/>
      <c r="J8" s="23">
        <v>43459</v>
      </c>
      <c r="K8" s="41">
        <v>0</v>
      </c>
      <c r="L8" s="41">
        <v>0</v>
      </c>
      <c r="M8" s="41">
        <f>17764.16+17764.16+17764.16</f>
        <v>53292.479999999996</v>
      </c>
      <c r="N8" s="41">
        <f>17764.16+17764.16</f>
        <v>35528.32</v>
      </c>
      <c r="O8" s="41">
        <v>17764.16</v>
      </c>
      <c r="P8" s="41">
        <v>36666.67</v>
      </c>
      <c r="Q8" s="41">
        <v>0</v>
      </c>
      <c r="R8" s="41">
        <v>53292.480000000003</v>
      </c>
      <c r="S8" s="41">
        <v>2625</v>
      </c>
      <c r="T8" s="41">
        <f>17764.16</f>
        <v>17764.16</v>
      </c>
      <c r="U8" s="41">
        <f>17764.16+17764.16</f>
        <v>35528.32</v>
      </c>
    </row>
    <row r="9" spans="2:21" ht="36" customHeight="1" x14ac:dyDescent="0.2">
      <c r="B9" s="43" t="s">
        <v>550</v>
      </c>
      <c r="C9" s="25" t="s">
        <v>331</v>
      </c>
      <c r="D9" s="16">
        <v>2017</v>
      </c>
      <c r="E9" s="38"/>
      <c r="F9" s="8" t="s">
        <v>332</v>
      </c>
      <c r="G9" s="7" t="s">
        <v>333</v>
      </c>
      <c r="H9" s="7" t="s">
        <v>438</v>
      </c>
      <c r="I9" s="38"/>
      <c r="J9" s="21">
        <v>43414</v>
      </c>
      <c r="K9" s="41">
        <v>0</v>
      </c>
      <c r="L9" s="41">
        <v>0</v>
      </c>
      <c r="M9" s="41">
        <v>0</v>
      </c>
      <c r="N9" s="41">
        <v>0</v>
      </c>
      <c r="O9" s="41">
        <v>0</v>
      </c>
      <c r="P9" s="41">
        <v>0</v>
      </c>
      <c r="Q9" s="41">
        <v>0</v>
      </c>
      <c r="R9" s="41">
        <v>0</v>
      </c>
      <c r="S9" s="41">
        <v>0</v>
      </c>
      <c r="T9" s="41">
        <v>0</v>
      </c>
      <c r="U9" s="41">
        <v>0</v>
      </c>
    </row>
    <row r="10" spans="2:21" ht="36" customHeight="1" x14ac:dyDescent="0.2">
      <c r="B10" s="19"/>
      <c r="C10" s="16" t="s">
        <v>352</v>
      </c>
      <c r="D10" s="16">
        <v>2017</v>
      </c>
      <c r="E10" s="38"/>
      <c r="F10" s="7" t="s">
        <v>353</v>
      </c>
      <c r="G10" s="7" t="s">
        <v>354</v>
      </c>
      <c r="H10" s="7" t="s">
        <v>355</v>
      </c>
      <c r="I10" s="38"/>
      <c r="J10" s="21">
        <v>43446</v>
      </c>
      <c r="K10" s="41">
        <v>0</v>
      </c>
      <c r="L10" s="41">
        <v>0</v>
      </c>
      <c r="M10" s="41">
        <f>107104.62+388275.42</f>
        <v>495380.04</v>
      </c>
      <c r="N10" s="41">
        <v>0</v>
      </c>
      <c r="O10" s="41">
        <f>227307.96</f>
        <v>227307.96</v>
      </c>
      <c r="P10" s="42">
        <v>0</v>
      </c>
      <c r="Q10" s="42">
        <v>0</v>
      </c>
      <c r="R10" s="42">
        <v>0</v>
      </c>
      <c r="S10" s="41">
        <v>0</v>
      </c>
      <c r="T10" s="41">
        <v>0</v>
      </c>
      <c r="U10" s="41">
        <f>330499.9</f>
        <v>330499.90000000002</v>
      </c>
    </row>
    <row r="11" spans="2:21" ht="36" customHeight="1" x14ac:dyDescent="0.2">
      <c r="B11" s="43" t="s">
        <v>550</v>
      </c>
      <c r="C11" s="16" t="s">
        <v>567</v>
      </c>
      <c r="D11" s="16">
        <v>2018</v>
      </c>
      <c r="E11" s="38"/>
      <c r="F11" s="7" t="s">
        <v>367</v>
      </c>
      <c r="G11" s="7" t="s">
        <v>347</v>
      </c>
      <c r="H11" s="7" t="s">
        <v>348</v>
      </c>
      <c r="I11" s="38"/>
      <c r="J11" s="23" t="s">
        <v>344</v>
      </c>
      <c r="K11" s="41">
        <v>1800000</v>
      </c>
      <c r="L11" s="41">
        <v>0</v>
      </c>
      <c r="M11" s="41">
        <v>0</v>
      </c>
      <c r="N11" s="41">
        <v>0</v>
      </c>
      <c r="O11" s="41">
        <v>0</v>
      </c>
      <c r="P11" s="41">
        <v>0</v>
      </c>
      <c r="Q11" s="41">
        <v>0</v>
      </c>
      <c r="R11" s="41">
        <v>0</v>
      </c>
      <c r="S11" s="41">
        <v>0</v>
      </c>
      <c r="T11" s="41">
        <v>0</v>
      </c>
      <c r="U11" s="41">
        <v>0</v>
      </c>
    </row>
    <row r="12" spans="2:21" ht="36" customHeight="1" x14ac:dyDescent="0.2">
      <c r="B12" s="43"/>
      <c r="C12" s="16" t="s">
        <v>570</v>
      </c>
      <c r="D12" s="16">
        <v>2018</v>
      </c>
      <c r="E12" s="38"/>
      <c r="F12" s="7" t="s">
        <v>571</v>
      </c>
      <c r="G12" s="7" t="s">
        <v>572</v>
      </c>
      <c r="H12" s="7" t="s">
        <v>573</v>
      </c>
      <c r="I12" s="38"/>
      <c r="J12" s="23">
        <v>43712</v>
      </c>
      <c r="K12" s="41"/>
      <c r="L12" s="41"/>
      <c r="M12" s="41"/>
      <c r="N12" s="41">
        <v>0</v>
      </c>
      <c r="O12" s="41">
        <v>0</v>
      </c>
      <c r="P12" s="41">
        <v>0</v>
      </c>
      <c r="Q12" s="41">
        <v>0</v>
      </c>
      <c r="R12" s="41">
        <v>0</v>
      </c>
      <c r="S12" s="41">
        <v>0</v>
      </c>
      <c r="T12" s="41">
        <v>0</v>
      </c>
      <c r="U12" s="41">
        <v>2950</v>
      </c>
    </row>
    <row r="13" spans="2:21" ht="36" customHeight="1" x14ac:dyDescent="0.2">
      <c r="B13" s="43"/>
      <c r="C13" s="16" t="s">
        <v>659</v>
      </c>
      <c r="D13" s="16">
        <v>2018</v>
      </c>
      <c r="E13" s="38"/>
      <c r="F13" s="7" t="s">
        <v>660</v>
      </c>
      <c r="G13" s="7" t="s">
        <v>661</v>
      </c>
      <c r="H13" s="7" t="s">
        <v>662</v>
      </c>
      <c r="I13" s="38"/>
      <c r="J13" s="23">
        <v>43684</v>
      </c>
      <c r="K13" s="41"/>
      <c r="L13" s="41"/>
      <c r="M13" s="41"/>
      <c r="N13" s="41"/>
      <c r="O13" s="41">
        <v>0</v>
      </c>
      <c r="P13" s="41">
        <v>0</v>
      </c>
      <c r="Q13" s="41">
        <v>10800</v>
      </c>
      <c r="R13" s="41">
        <f>46248.82</f>
        <v>46248.82</v>
      </c>
      <c r="S13" s="41">
        <v>0</v>
      </c>
      <c r="T13" s="41">
        <v>0</v>
      </c>
      <c r="U13" s="41">
        <v>0</v>
      </c>
    </row>
    <row r="14" spans="2:21" ht="36" customHeight="1" x14ac:dyDescent="0.2">
      <c r="B14" s="43"/>
      <c r="C14" s="16" t="s">
        <v>666</v>
      </c>
      <c r="D14" s="16">
        <v>2018</v>
      </c>
      <c r="E14" s="38"/>
      <c r="F14" s="7" t="s">
        <v>667</v>
      </c>
      <c r="G14" s="7" t="s">
        <v>668</v>
      </c>
      <c r="H14" s="7" t="s">
        <v>669</v>
      </c>
      <c r="I14" s="38"/>
      <c r="J14" s="23" t="s">
        <v>670</v>
      </c>
      <c r="K14" s="41"/>
      <c r="L14" s="41"/>
      <c r="M14" s="41"/>
      <c r="N14" s="41"/>
      <c r="O14" s="41">
        <v>0</v>
      </c>
      <c r="P14" s="41">
        <v>0</v>
      </c>
      <c r="Q14" s="41">
        <v>0</v>
      </c>
      <c r="R14" s="41">
        <v>0</v>
      </c>
      <c r="S14" s="41">
        <f>85573</f>
        <v>85573</v>
      </c>
      <c r="T14" s="41">
        <v>0</v>
      </c>
      <c r="U14" s="41">
        <v>0</v>
      </c>
    </row>
    <row r="15" spans="2:21" ht="36" customHeight="1" x14ac:dyDescent="0.2">
      <c r="B15" s="43" t="s">
        <v>550</v>
      </c>
      <c r="C15" s="16" t="s">
        <v>663</v>
      </c>
      <c r="D15" s="16">
        <v>2018</v>
      </c>
      <c r="E15" s="38"/>
      <c r="F15" s="7" t="s">
        <v>676</v>
      </c>
      <c r="G15" s="7" t="s">
        <v>664</v>
      </c>
      <c r="H15" s="7" t="s">
        <v>665</v>
      </c>
      <c r="I15" s="38"/>
      <c r="J15" s="23">
        <v>43710</v>
      </c>
      <c r="K15" s="41"/>
      <c r="L15" s="41"/>
      <c r="M15" s="41"/>
      <c r="N15" s="41"/>
      <c r="O15" s="41">
        <v>0</v>
      </c>
      <c r="P15" s="41">
        <v>0</v>
      </c>
      <c r="Q15" s="41">
        <v>0</v>
      </c>
      <c r="R15" s="41">
        <v>1392010</v>
      </c>
      <c r="S15" s="41">
        <v>0</v>
      </c>
      <c r="T15" s="41">
        <v>0</v>
      </c>
      <c r="U15" s="41">
        <v>0</v>
      </c>
    </row>
    <row r="16" spans="2:21" ht="36" customHeight="1" x14ac:dyDescent="0.2">
      <c r="B16" s="43" t="s">
        <v>550</v>
      </c>
      <c r="C16" s="16" t="s">
        <v>674</v>
      </c>
      <c r="D16" s="16">
        <v>2018</v>
      </c>
      <c r="E16" s="38"/>
      <c r="F16" s="7" t="s">
        <v>677</v>
      </c>
      <c r="G16" s="7" t="s">
        <v>664</v>
      </c>
      <c r="H16" s="7" t="s">
        <v>679</v>
      </c>
      <c r="I16" s="38"/>
      <c r="J16" s="23">
        <v>43483</v>
      </c>
      <c r="K16" s="41"/>
      <c r="L16" s="41"/>
      <c r="M16" s="41"/>
      <c r="N16" s="41"/>
      <c r="O16" s="41">
        <v>0</v>
      </c>
      <c r="P16" s="41">
        <v>0</v>
      </c>
      <c r="Q16" s="41">
        <v>0</v>
      </c>
      <c r="R16" s="41">
        <v>0</v>
      </c>
      <c r="S16" s="41">
        <f>208542.5</f>
        <v>208542.5</v>
      </c>
      <c r="T16" s="41">
        <v>0</v>
      </c>
      <c r="U16" s="41">
        <v>0</v>
      </c>
    </row>
    <row r="17" spans="2:21" ht="36" customHeight="1" x14ac:dyDescent="0.2">
      <c r="B17" s="43" t="s">
        <v>550</v>
      </c>
      <c r="C17" s="16" t="s">
        <v>675</v>
      </c>
      <c r="D17" s="16">
        <v>2018</v>
      </c>
      <c r="E17" s="38"/>
      <c r="F17" s="7" t="s">
        <v>678</v>
      </c>
      <c r="G17" s="7" t="s">
        <v>664</v>
      </c>
      <c r="H17" s="7" t="s">
        <v>680</v>
      </c>
      <c r="I17" s="38"/>
      <c r="J17" s="23">
        <v>43483</v>
      </c>
      <c r="K17" s="41"/>
      <c r="L17" s="41"/>
      <c r="M17" s="41"/>
      <c r="N17" s="41"/>
      <c r="O17" s="41">
        <v>0</v>
      </c>
      <c r="P17" s="41">
        <v>0</v>
      </c>
      <c r="Q17" s="41">
        <v>0</v>
      </c>
      <c r="R17" s="41">
        <v>0</v>
      </c>
      <c r="S17" s="41">
        <v>0</v>
      </c>
      <c r="T17" s="41">
        <v>426515</v>
      </c>
      <c r="U17" s="41">
        <v>0</v>
      </c>
    </row>
    <row r="18" spans="2:21" ht="36" customHeight="1" x14ac:dyDescent="0.2">
      <c r="B18" s="43" t="s">
        <v>550</v>
      </c>
      <c r="C18" s="16" t="s">
        <v>654</v>
      </c>
      <c r="D18" s="16">
        <v>2018</v>
      </c>
      <c r="E18" s="38"/>
      <c r="F18" s="7" t="s">
        <v>655</v>
      </c>
      <c r="G18" s="7" t="s">
        <v>656</v>
      </c>
      <c r="H18" s="7" t="s">
        <v>657</v>
      </c>
      <c r="I18" s="38"/>
      <c r="J18" s="23" t="s">
        <v>658</v>
      </c>
      <c r="K18" s="41"/>
      <c r="L18" s="41"/>
      <c r="M18" s="41"/>
      <c r="N18" s="41"/>
      <c r="O18" s="41">
        <v>0</v>
      </c>
      <c r="P18" s="41">
        <v>0</v>
      </c>
      <c r="Q18" s="41">
        <f>389349.78</f>
        <v>389349.78</v>
      </c>
      <c r="R18" s="41">
        <v>0</v>
      </c>
      <c r="S18" s="41">
        <v>0</v>
      </c>
      <c r="T18" s="41">
        <v>0</v>
      </c>
      <c r="U18" s="41">
        <v>0</v>
      </c>
    </row>
    <row r="19" spans="2:21" ht="36" customHeight="1" x14ac:dyDescent="0.2">
      <c r="B19" s="19"/>
      <c r="C19" s="16" t="s">
        <v>369</v>
      </c>
      <c r="D19" s="16">
        <v>2018</v>
      </c>
      <c r="E19" s="38"/>
      <c r="F19" s="7" t="s">
        <v>360</v>
      </c>
      <c r="G19" s="7" t="s">
        <v>361</v>
      </c>
      <c r="H19" s="7" t="s">
        <v>368</v>
      </c>
      <c r="I19" s="38"/>
      <c r="J19" s="23" t="s">
        <v>344</v>
      </c>
      <c r="K19" s="41">
        <v>0</v>
      </c>
      <c r="L19" s="41">
        <v>0</v>
      </c>
      <c r="M19" s="41">
        <f>2747.3+2821.52</f>
        <v>5568.82</v>
      </c>
      <c r="N19" s="41">
        <v>0</v>
      </c>
      <c r="O19" s="41">
        <f>3266.84</f>
        <v>3266.84</v>
      </c>
      <c r="P19" s="41">
        <f>3266.84</f>
        <v>3266.84</v>
      </c>
      <c r="Q19" s="41">
        <f>2895.74</f>
        <v>2895.74</v>
      </c>
      <c r="R19" s="41">
        <f>2623.6</f>
        <v>2623.6</v>
      </c>
      <c r="S19" s="41">
        <v>2975.92</v>
      </c>
      <c r="T19" s="41">
        <f>2524.64</f>
        <v>2524.64</v>
      </c>
      <c r="U19" s="41">
        <f>2400.94</f>
        <v>2400.94</v>
      </c>
    </row>
    <row r="20" spans="2:21" ht="36" customHeight="1" x14ac:dyDescent="0.2">
      <c r="B20" s="43" t="s">
        <v>550</v>
      </c>
      <c r="C20" s="16" t="s">
        <v>566</v>
      </c>
      <c r="D20" s="16">
        <v>2017</v>
      </c>
      <c r="E20" s="38"/>
      <c r="F20" s="8" t="s">
        <v>334</v>
      </c>
      <c r="G20" s="8" t="s">
        <v>335</v>
      </c>
      <c r="H20" s="7" t="s">
        <v>439</v>
      </c>
      <c r="I20" s="38"/>
      <c r="J20" s="21" t="s">
        <v>329</v>
      </c>
      <c r="K20" s="41">
        <v>0</v>
      </c>
      <c r="L20" s="41">
        <v>0</v>
      </c>
      <c r="M20" s="41">
        <f>0</f>
        <v>0</v>
      </c>
      <c r="N20" s="41">
        <v>0</v>
      </c>
      <c r="O20" s="41">
        <f>31585.03</f>
        <v>31585.03</v>
      </c>
      <c r="P20" s="41">
        <v>6775.91</v>
      </c>
      <c r="Q20" s="41">
        <v>0</v>
      </c>
      <c r="R20" s="41">
        <v>0</v>
      </c>
      <c r="S20" s="41">
        <v>0</v>
      </c>
      <c r="T20" s="41">
        <v>0</v>
      </c>
      <c r="U20" s="41">
        <v>0</v>
      </c>
    </row>
    <row r="21" spans="2:21" ht="39.75" customHeight="1" x14ac:dyDescent="0.2">
      <c r="B21" s="19"/>
      <c r="C21" s="16" t="s">
        <v>182</v>
      </c>
      <c r="D21" s="16">
        <v>2017</v>
      </c>
      <c r="E21" s="38"/>
      <c r="F21" s="7" t="s">
        <v>8</v>
      </c>
      <c r="G21" s="7" t="s">
        <v>9</v>
      </c>
      <c r="H21" s="7"/>
      <c r="I21" s="38"/>
      <c r="J21" s="17">
        <v>43567</v>
      </c>
      <c r="K21" s="41">
        <f>321438.33+515778.76</f>
        <v>837217.09000000008</v>
      </c>
      <c r="L21" s="41">
        <f>314563.26+41768.1+95204.35</f>
        <v>451535.70999999996</v>
      </c>
      <c r="M21" s="41">
        <v>633253.85</v>
      </c>
      <c r="N21" s="41">
        <f>338085.3+503065.79</f>
        <v>841151.09</v>
      </c>
      <c r="O21" s="41">
        <f>872772.17</f>
        <v>872772.17</v>
      </c>
      <c r="P21" s="41">
        <f>303508.83+7774.78+71446.32</f>
        <v>382729.93000000005</v>
      </c>
      <c r="Q21" s="41">
        <f>108241.1+564972.31+566076.34+129930.01</f>
        <v>1369219.76</v>
      </c>
      <c r="R21" s="41">
        <f>195265.28+23069.98+85842.77</f>
        <v>304178.03000000003</v>
      </c>
      <c r="S21" s="41">
        <v>0</v>
      </c>
      <c r="T21" s="41">
        <f>586702+298761.85+227246.26+605449.23+638137.36</f>
        <v>2356296.6999999997</v>
      </c>
      <c r="U21" s="41">
        <v>0</v>
      </c>
    </row>
    <row r="22" spans="2:21" ht="39.75" customHeight="1" x14ac:dyDescent="0.2">
      <c r="B22" s="19"/>
      <c r="C22" s="16" t="s">
        <v>256</v>
      </c>
      <c r="D22" s="16">
        <v>2013</v>
      </c>
      <c r="E22" s="38"/>
      <c r="F22" s="7" t="s">
        <v>257</v>
      </c>
      <c r="G22" s="7" t="s">
        <v>258</v>
      </c>
      <c r="H22" s="7"/>
      <c r="I22" s="38"/>
      <c r="J22" s="17">
        <v>43443</v>
      </c>
      <c r="K22" s="41">
        <f>7258.61</f>
        <v>7258.61</v>
      </c>
      <c r="L22" s="41">
        <f>9270.12</f>
        <v>9270.1200000000008</v>
      </c>
      <c r="M22" s="41">
        <f>7994.49</f>
        <v>7994.49</v>
      </c>
      <c r="N22" s="41">
        <f>9396.99</f>
        <v>9396.99</v>
      </c>
      <c r="O22" s="41">
        <f>12534.78</f>
        <v>12534.78</v>
      </c>
      <c r="P22" s="41">
        <f>10934.98</f>
        <v>10934.98</v>
      </c>
      <c r="Q22" s="41">
        <f>10840.26</f>
        <v>10840.26</v>
      </c>
      <c r="R22" s="41">
        <f>9149.09</f>
        <v>9149.09</v>
      </c>
      <c r="S22" s="41">
        <f>10881.28</f>
        <v>10881.28</v>
      </c>
      <c r="T22" s="41">
        <f>9368.98</f>
        <v>9368.98</v>
      </c>
      <c r="U22" s="41">
        <f>10852.96</f>
        <v>10852.96</v>
      </c>
    </row>
    <row r="23" spans="2:21" ht="39.75" customHeight="1" x14ac:dyDescent="0.2">
      <c r="B23" s="19"/>
      <c r="C23" s="16" t="s">
        <v>11</v>
      </c>
      <c r="D23" s="16">
        <v>2014</v>
      </c>
      <c r="E23" s="38" t="s">
        <v>12</v>
      </c>
      <c r="F23" s="7" t="s">
        <v>13</v>
      </c>
      <c r="G23" s="7" t="s">
        <v>14</v>
      </c>
      <c r="H23" s="7" t="s">
        <v>15</v>
      </c>
      <c r="I23" s="38" t="s">
        <v>16</v>
      </c>
      <c r="J23" s="17">
        <v>43444</v>
      </c>
      <c r="K23" s="41">
        <f>360924.8</f>
        <v>360924.8</v>
      </c>
      <c r="L23" s="41">
        <f>439901.56</f>
        <v>439901.56</v>
      </c>
      <c r="M23" s="41">
        <f>451328.08</f>
        <v>451328.08</v>
      </c>
      <c r="N23" s="41">
        <f>458769.56</f>
        <v>458769.56</v>
      </c>
      <c r="O23" s="41">
        <f>443775.48</f>
        <v>443775.48</v>
      </c>
      <c r="P23" s="41">
        <f>488884.56</f>
        <v>488884.56</v>
      </c>
      <c r="Q23" s="41">
        <f>501263.4</f>
        <v>501263.4</v>
      </c>
      <c r="R23" s="41">
        <f>412968.4</f>
        <v>412968.4</v>
      </c>
      <c r="S23" s="41">
        <f>479344.88</f>
        <v>479344.88</v>
      </c>
      <c r="T23" s="41">
        <f>429605.28</f>
        <v>429605.28</v>
      </c>
      <c r="U23" s="41">
        <v>429545.68</v>
      </c>
    </row>
    <row r="24" spans="2:21" ht="39.75" customHeight="1" x14ac:dyDescent="0.2">
      <c r="B24" s="19"/>
      <c r="C24" s="16" t="s">
        <v>262</v>
      </c>
      <c r="D24" s="16">
        <v>2014</v>
      </c>
      <c r="E24" s="38"/>
      <c r="F24" s="7" t="s">
        <v>263</v>
      </c>
      <c r="G24" s="7" t="s">
        <v>264</v>
      </c>
      <c r="H24" s="7"/>
      <c r="I24" s="38"/>
      <c r="J24" s="17">
        <v>43196</v>
      </c>
      <c r="K24" s="41">
        <v>1608</v>
      </c>
      <c r="L24" s="41">
        <v>0</v>
      </c>
      <c r="M24" s="41">
        <f>799.98+2130.6</f>
        <v>2930.58</v>
      </c>
      <c r="N24" s="41">
        <f>1342.68</f>
        <v>1342.68</v>
      </c>
      <c r="O24" s="41">
        <f>3127.56</f>
        <v>3127.56</v>
      </c>
      <c r="P24" s="41">
        <f>4683.3</f>
        <v>4683.3</v>
      </c>
      <c r="Q24" s="41">
        <f>1386.9</f>
        <v>1386.9</v>
      </c>
      <c r="R24" s="41">
        <f>3055.2</f>
        <v>3055.2</v>
      </c>
      <c r="S24" s="41">
        <v>3063.24</v>
      </c>
      <c r="T24" s="41">
        <v>1971.46</v>
      </c>
      <c r="U24" s="41">
        <v>0</v>
      </c>
    </row>
    <row r="25" spans="2:21" ht="39.75" customHeight="1" x14ac:dyDescent="0.2">
      <c r="B25" s="19"/>
      <c r="C25" s="16" t="s">
        <v>251</v>
      </c>
      <c r="D25" s="16">
        <v>2014</v>
      </c>
      <c r="E25" s="38"/>
      <c r="F25" s="7" t="s">
        <v>252</v>
      </c>
      <c r="G25" s="7" t="s">
        <v>253</v>
      </c>
      <c r="H25" s="7"/>
      <c r="I25" s="38"/>
      <c r="J25" s="17">
        <v>43420</v>
      </c>
      <c r="K25" s="41">
        <f>67014.77</f>
        <v>67014.77</v>
      </c>
      <c r="L25" s="41">
        <f>66347.88</f>
        <v>66347.88</v>
      </c>
      <c r="M25" s="41">
        <f>66573.91</f>
        <v>66573.91</v>
      </c>
      <c r="N25" s="41">
        <f>67406.49</f>
        <v>67406.490000000005</v>
      </c>
      <c r="O25" s="41">
        <f>67318.94</f>
        <v>67318.94</v>
      </c>
      <c r="P25" s="41">
        <v>66739.360000000001</v>
      </c>
      <c r="Q25" s="41">
        <f>67755.39+11213.02</f>
        <v>78968.41</v>
      </c>
      <c r="R25" s="41">
        <f>67980.73</f>
        <v>67980.73</v>
      </c>
      <c r="S25" s="41">
        <f>68387.82</f>
        <v>68387.820000000007</v>
      </c>
      <c r="T25" s="41">
        <f>68462.01</f>
        <v>68462.009999999995</v>
      </c>
      <c r="U25" s="41">
        <v>67701.740000000005</v>
      </c>
    </row>
    <row r="26" spans="2:21" ht="39.75" customHeight="1" x14ac:dyDescent="0.2">
      <c r="B26" s="19"/>
      <c r="C26" s="16" t="s">
        <v>17</v>
      </c>
      <c r="D26" s="16">
        <v>2015</v>
      </c>
      <c r="E26" s="38" t="s">
        <v>12</v>
      </c>
      <c r="F26" s="7" t="s">
        <v>18</v>
      </c>
      <c r="G26" s="7" t="s">
        <v>19</v>
      </c>
      <c r="H26" s="7" t="s">
        <v>20</v>
      </c>
      <c r="I26" s="38" t="s">
        <v>21</v>
      </c>
      <c r="J26" s="17">
        <v>43183</v>
      </c>
      <c r="K26" s="41">
        <v>7875</v>
      </c>
      <c r="L26" s="41">
        <v>7875</v>
      </c>
      <c r="M26" s="41">
        <v>0</v>
      </c>
      <c r="N26" s="41">
        <f>7875+7875</f>
        <v>15750</v>
      </c>
      <c r="O26" s="41">
        <v>7875</v>
      </c>
      <c r="P26" s="41">
        <v>7875</v>
      </c>
      <c r="Q26" s="41">
        <v>7875</v>
      </c>
      <c r="R26" s="41">
        <v>7875</v>
      </c>
      <c r="S26" s="41">
        <v>7875</v>
      </c>
      <c r="T26" s="41">
        <v>0</v>
      </c>
      <c r="U26" s="41">
        <f>7875+7875</f>
        <v>15750</v>
      </c>
    </row>
    <row r="27" spans="2:21" ht="39.75" customHeight="1" x14ac:dyDescent="0.2">
      <c r="B27" s="19"/>
      <c r="C27" s="16" t="s">
        <v>22</v>
      </c>
      <c r="D27" s="16">
        <v>2015</v>
      </c>
      <c r="E27" s="38" t="s">
        <v>12</v>
      </c>
      <c r="F27" s="7" t="s">
        <v>23</v>
      </c>
      <c r="G27" s="7" t="s">
        <v>24</v>
      </c>
      <c r="H27" s="7" t="s">
        <v>25</v>
      </c>
      <c r="I27" s="38" t="s">
        <v>26</v>
      </c>
      <c r="J27" s="17">
        <v>43554</v>
      </c>
      <c r="K27" s="41">
        <f>104137.73</f>
        <v>104137.73</v>
      </c>
      <c r="L27" s="41">
        <f>103345.29</f>
        <v>103345.29</v>
      </c>
      <c r="M27" s="41">
        <f>103272.85</f>
        <v>103272.85</v>
      </c>
      <c r="N27" s="41">
        <f>104209.13</f>
        <v>104209.13</v>
      </c>
      <c r="O27" s="41">
        <f>103314.7</f>
        <v>103314.7</v>
      </c>
      <c r="P27" s="41">
        <f>10623.72+106833.26</f>
        <v>117456.98</v>
      </c>
      <c r="Q27" s="41">
        <f>107818.12</f>
        <v>107818.12</v>
      </c>
      <c r="R27" s="41">
        <f>107740.51</f>
        <v>107740.51</v>
      </c>
      <c r="S27" s="41">
        <f>106602.91</f>
        <v>106602.91</v>
      </c>
      <c r="T27" s="41">
        <f>107088.69</f>
        <v>107088.69</v>
      </c>
      <c r="U27" s="41">
        <f>107088.69</f>
        <v>107088.69</v>
      </c>
    </row>
    <row r="28" spans="2:21" ht="39.75" customHeight="1" x14ac:dyDescent="0.2">
      <c r="B28" s="19"/>
      <c r="C28" s="16" t="s">
        <v>27</v>
      </c>
      <c r="D28" s="16">
        <v>2015</v>
      </c>
      <c r="E28" s="38" t="s">
        <v>12</v>
      </c>
      <c r="F28" s="7" t="s">
        <v>28</v>
      </c>
      <c r="G28" s="7" t="s">
        <v>29</v>
      </c>
      <c r="H28" s="7" t="s">
        <v>30</v>
      </c>
      <c r="I28" s="38" t="s">
        <v>31</v>
      </c>
      <c r="J28" s="17">
        <v>43554</v>
      </c>
      <c r="K28" s="41">
        <f>134108.28</f>
        <v>134108.28</v>
      </c>
      <c r="L28" s="41">
        <f>134108.28</f>
        <v>134108.28</v>
      </c>
      <c r="M28" s="41">
        <f>134108.28</f>
        <v>134108.28</v>
      </c>
      <c r="N28" s="41">
        <v>134108.28</v>
      </c>
      <c r="O28" s="41">
        <v>134108.28</v>
      </c>
      <c r="P28" s="41">
        <f>158445.71</f>
        <v>158445.71</v>
      </c>
      <c r="Q28" s="41">
        <f>137590.77</f>
        <v>137590.76999999999</v>
      </c>
      <c r="R28" s="41">
        <v>137590.76999999999</v>
      </c>
      <c r="S28" s="41">
        <v>137590.76999999999</v>
      </c>
      <c r="T28" s="41">
        <v>137590.76999999999</v>
      </c>
      <c r="U28" s="41">
        <v>137590.76999999999</v>
      </c>
    </row>
    <row r="29" spans="2:21" ht="39.75" customHeight="1" x14ac:dyDescent="0.2">
      <c r="B29" s="19"/>
      <c r="C29" s="16" t="s">
        <v>32</v>
      </c>
      <c r="D29" s="16">
        <v>2016</v>
      </c>
      <c r="E29" s="38" t="s">
        <v>12</v>
      </c>
      <c r="F29" s="7" t="s">
        <v>33</v>
      </c>
      <c r="G29" s="7" t="s">
        <v>34</v>
      </c>
      <c r="H29" s="7" t="s">
        <v>35</v>
      </c>
      <c r="I29" s="38" t="s">
        <v>36</v>
      </c>
      <c r="J29" s="17">
        <v>43250</v>
      </c>
      <c r="K29" s="41">
        <v>0</v>
      </c>
      <c r="L29" s="41">
        <v>0</v>
      </c>
      <c r="M29" s="41">
        <v>0</v>
      </c>
      <c r="N29" s="41">
        <v>0</v>
      </c>
      <c r="O29" s="41">
        <v>0</v>
      </c>
      <c r="P29" s="41">
        <v>0</v>
      </c>
      <c r="Q29" s="41">
        <v>0</v>
      </c>
      <c r="R29" s="41">
        <f>90854.1+98708.23+95332.37+6396.41</f>
        <v>291291.11</v>
      </c>
      <c r="S29" s="41">
        <v>0</v>
      </c>
      <c r="T29" s="41">
        <v>0</v>
      </c>
      <c r="U29" s="41">
        <v>0</v>
      </c>
    </row>
    <row r="30" spans="2:21" ht="39.75" customHeight="1" x14ac:dyDescent="0.2">
      <c r="B30" s="19"/>
      <c r="C30" s="16" t="s">
        <v>230</v>
      </c>
      <c r="D30" s="16">
        <v>2017</v>
      </c>
      <c r="E30" s="38" t="s">
        <v>43</v>
      </c>
      <c r="F30" s="7" t="s">
        <v>44</v>
      </c>
      <c r="G30" s="7" t="s">
        <v>45</v>
      </c>
      <c r="H30" s="7" t="s">
        <v>426</v>
      </c>
      <c r="I30" s="38"/>
      <c r="J30" s="17">
        <v>43440</v>
      </c>
      <c r="K30" s="41">
        <f>1085.7</f>
        <v>1085.7</v>
      </c>
      <c r="L30" s="41">
        <f>1071.56+1395.9+1085.7</f>
        <v>3553.16</v>
      </c>
      <c r="M30" s="41">
        <f>542.85+620.4</f>
        <v>1163.25</v>
      </c>
      <c r="N30" s="41">
        <f>1783.65+542.85</f>
        <v>2326.5</v>
      </c>
      <c r="O30" s="41">
        <v>542.85</v>
      </c>
      <c r="P30" s="41" t="s">
        <v>245</v>
      </c>
      <c r="Q30" s="41" t="s">
        <v>245</v>
      </c>
      <c r="R30" s="41">
        <v>1008.15</v>
      </c>
      <c r="S30" s="41">
        <v>542.85</v>
      </c>
      <c r="T30" s="41">
        <v>0</v>
      </c>
      <c r="U30" s="41">
        <f>1163.25</f>
        <v>1163.25</v>
      </c>
    </row>
    <row r="31" spans="2:21" ht="39.75" customHeight="1" x14ac:dyDescent="0.2">
      <c r="B31" s="19"/>
      <c r="C31" s="16" t="s">
        <v>48</v>
      </c>
      <c r="D31" s="16">
        <v>2014</v>
      </c>
      <c r="E31" s="38" t="s">
        <v>12</v>
      </c>
      <c r="F31" s="7" t="s">
        <v>49</v>
      </c>
      <c r="G31" s="7" t="s">
        <v>50</v>
      </c>
      <c r="H31" s="7" t="s">
        <v>51</v>
      </c>
      <c r="I31" s="38" t="s">
        <v>52</v>
      </c>
      <c r="J31" s="17">
        <v>43452</v>
      </c>
      <c r="K31" s="41">
        <f t="shared" ref="K31:P31" si="0">7893.32</f>
        <v>7893.32</v>
      </c>
      <c r="L31" s="41">
        <f t="shared" si="0"/>
        <v>7893.32</v>
      </c>
      <c r="M31" s="41">
        <f t="shared" si="0"/>
        <v>7893.32</v>
      </c>
      <c r="N31" s="41">
        <f t="shared" si="0"/>
        <v>7893.32</v>
      </c>
      <c r="O31" s="41">
        <f t="shared" si="0"/>
        <v>7893.32</v>
      </c>
      <c r="P31" s="41">
        <f t="shared" si="0"/>
        <v>7893.32</v>
      </c>
      <c r="Q31" s="41">
        <v>7893.32</v>
      </c>
      <c r="R31" s="41">
        <v>7893.32</v>
      </c>
      <c r="S31" s="41">
        <v>7893.32</v>
      </c>
      <c r="T31" s="41">
        <v>7893.32</v>
      </c>
      <c r="U31" s="41">
        <v>4266.59</v>
      </c>
    </row>
    <row r="32" spans="2:21" ht="39.75" customHeight="1" x14ac:dyDescent="0.2">
      <c r="B32" s="19"/>
      <c r="C32" s="16" t="s">
        <v>53</v>
      </c>
      <c r="D32" s="16">
        <v>2014</v>
      </c>
      <c r="E32" s="38" t="s">
        <v>54</v>
      </c>
      <c r="F32" s="7" t="s">
        <v>55</v>
      </c>
      <c r="G32" s="7" t="s">
        <v>56</v>
      </c>
      <c r="H32" s="7" t="s">
        <v>57</v>
      </c>
      <c r="I32" s="38" t="s">
        <v>58</v>
      </c>
      <c r="J32" s="17">
        <v>43673</v>
      </c>
      <c r="K32" s="41">
        <v>5500</v>
      </c>
      <c r="L32" s="41">
        <v>5500</v>
      </c>
      <c r="M32" s="41">
        <v>5500</v>
      </c>
      <c r="N32" s="41">
        <v>0</v>
      </c>
      <c r="O32" s="41">
        <f>5500+5500+5500</f>
        <v>16500</v>
      </c>
      <c r="P32" s="41">
        <v>0</v>
      </c>
      <c r="Q32" s="41">
        <v>11000</v>
      </c>
      <c r="R32" s="41">
        <v>5500</v>
      </c>
      <c r="S32" s="41">
        <v>0</v>
      </c>
      <c r="T32" s="41">
        <f>5500+5500</f>
        <v>11000</v>
      </c>
      <c r="U32" s="41">
        <v>5500</v>
      </c>
    </row>
    <row r="33" spans="2:21" ht="39.75" customHeight="1" x14ac:dyDescent="0.2">
      <c r="B33" s="19"/>
      <c r="C33" s="16" t="s">
        <v>59</v>
      </c>
      <c r="D33" s="16">
        <v>2014</v>
      </c>
      <c r="E33" s="38" t="s">
        <v>12</v>
      </c>
      <c r="F33" s="7" t="s">
        <v>60</v>
      </c>
      <c r="G33" s="7" t="s">
        <v>61</v>
      </c>
      <c r="H33" s="7" t="s">
        <v>62</v>
      </c>
      <c r="I33" s="38" t="s">
        <v>63</v>
      </c>
      <c r="J33" s="17">
        <v>43373</v>
      </c>
      <c r="K33" s="41">
        <v>123339.07</v>
      </c>
      <c r="L33" s="41">
        <v>123339.07</v>
      </c>
      <c r="M33" s="41">
        <v>123339.07</v>
      </c>
      <c r="N33" s="41">
        <v>123339.07</v>
      </c>
      <c r="O33" s="41">
        <v>123339.07</v>
      </c>
      <c r="P33" s="41">
        <v>176643.02</v>
      </c>
      <c r="Q33" s="41">
        <f>130980.76</f>
        <v>130980.76</v>
      </c>
      <c r="R33" s="41">
        <v>130980.76</v>
      </c>
      <c r="S33" s="41">
        <f>16772.6+130980.76</f>
        <v>147753.35999999999</v>
      </c>
      <c r="T33" s="41">
        <f>132658.02</f>
        <v>132658.01999999999</v>
      </c>
      <c r="U33" s="41">
        <v>132658.01999999999</v>
      </c>
    </row>
    <row r="34" spans="2:21" ht="39.75" customHeight="1" x14ac:dyDescent="0.2">
      <c r="B34" s="44" t="s">
        <v>550</v>
      </c>
      <c r="C34" s="16" t="s">
        <v>64</v>
      </c>
      <c r="D34" s="16">
        <v>2015</v>
      </c>
      <c r="E34" s="38" t="s">
        <v>54</v>
      </c>
      <c r="F34" s="7" t="s">
        <v>65</v>
      </c>
      <c r="G34" s="7" t="s">
        <v>66</v>
      </c>
      <c r="H34" s="7" t="s">
        <v>67</v>
      </c>
      <c r="I34" s="38" t="s">
        <v>68</v>
      </c>
      <c r="J34" s="17">
        <v>43101</v>
      </c>
      <c r="K34" s="41">
        <f>21805.18</f>
        <v>21805.18</v>
      </c>
      <c r="L34" s="41">
        <v>0</v>
      </c>
      <c r="M34" s="41">
        <v>0</v>
      </c>
      <c r="N34" s="41">
        <v>0</v>
      </c>
      <c r="O34" s="41">
        <v>0</v>
      </c>
      <c r="P34" s="41">
        <v>0</v>
      </c>
      <c r="Q34" s="41">
        <v>0</v>
      </c>
      <c r="R34" s="41">
        <v>0</v>
      </c>
      <c r="S34" s="41">
        <v>0</v>
      </c>
      <c r="T34" s="41">
        <v>0</v>
      </c>
      <c r="U34" s="41">
        <v>0</v>
      </c>
    </row>
    <row r="35" spans="2:21" ht="39.75" customHeight="1" x14ac:dyDescent="0.2">
      <c r="B35" s="44" t="s">
        <v>550</v>
      </c>
      <c r="C35" s="16" t="s">
        <v>242</v>
      </c>
      <c r="D35" s="16">
        <v>2016</v>
      </c>
      <c r="E35" s="38" t="s">
        <v>69</v>
      </c>
      <c r="F35" s="7" t="s">
        <v>70</v>
      </c>
      <c r="G35" s="7" t="s">
        <v>71</v>
      </c>
      <c r="H35" s="7" t="s">
        <v>244</v>
      </c>
      <c r="I35" s="38" t="s">
        <v>72</v>
      </c>
      <c r="J35" s="17">
        <v>43257</v>
      </c>
      <c r="K35" s="41">
        <v>0</v>
      </c>
      <c r="L35" s="41">
        <f>419275.18</f>
        <v>419275.18</v>
      </c>
      <c r="M35" s="41">
        <v>419275.18</v>
      </c>
      <c r="N35" s="41">
        <v>0</v>
      </c>
      <c r="O35" s="41">
        <v>419275.18</v>
      </c>
      <c r="P35" s="41">
        <v>0</v>
      </c>
      <c r="Q35" s="41">
        <v>0</v>
      </c>
      <c r="R35" s="41">
        <v>0</v>
      </c>
      <c r="S35" s="41">
        <v>0</v>
      </c>
      <c r="T35" s="41">
        <v>0</v>
      </c>
      <c r="U35" s="41">
        <v>0</v>
      </c>
    </row>
    <row r="36" spans="2:21" ht="39.75" customHeight="1" x14ac:dyDescent="0.2">
      <c r="B36" s="44" t="s">
        <v>550</v>
      </c>
      <c r="C36" s="16" t="s">
        <v>243</v>
      </c>
      <c r="D36" s="16">
        <v>2017</v>
      </c>
      <c r="E36" s="38" t="s">
        <v>69</v>
      </c>
      <c r="F36" s="7" t="s">
        <v>70</v>
      </c>
      <c r="G36" s="7" t="s">
        <v>71</v>
      </c>
      <c r="H36" s="7"/>
      <c r="I36" s="38" t="s">
        <v>72</v>
      </c>
      <c r="J36" s="17">
        <v>43097</v>
      </c>
      <c r="K36" s="41">
        <f>468665.4</f>
        <v>468665.4</v>
      </c>
      <c r="L36" s="41">
        <v>0</v>
      </c>
      <c r="M36" s="41">
        <v>0</v>
      </c>
      <c r="N36" s="41">
        <v>0</v>
      </c>
      <c r="O36" s="41">
        <v>0</v>
      </c>
      <c r="P36" s="41">
        <v>0</v>
      </c>
      <c r="Q36" s="41">
        <v>0</v>
      </c>
      <c r="R36" s="41">
        <v>0</v>
      </c>
      <c r="S36" s="41">
        <v>0</v>
      </c>
      <c r="T36" s="41">
        <v>0</v>
      </c>
      <c r="U36" s="41">
        <v>0</v>
      </c>
    </row>
    <row r="37" spans="2:21" ht="39.75" customHeight="1" x14ac:dyDescent="0.2">
      <c r="B37" s="19"/>
      <c r="C37" s="16" t="s">
        <v>336</v>
      </c>
      <c r="D37" s="16">
        <v>2017</v>
      </c>
      <c r="E37" s="38" t="s">
        <v>69</v>
      </c>
      <c r="F37" s="7" t="s">
        <v>70</v>
      </c>
      <c r="G37" s="7" t="s">
        <v>71</v>
      </c>
      <c r="H37" s="7" t="s">
        <v>427</v>
      </c>
      <c r="I37" s="38"/>
      <c r="J37" s="17">
        <v>43509</v>
      </c>
      <c r="K37" s="41">
        <v>0</v>
      </c>
      <c r="L37" s="41">
        <f>339375</f>
        <v>339375</v>
      </c>
      <c r="M37" s="41">
        <v>0</v>
      </c>
      <c r="N37" s="41">
        <v>0</v>
      </c>
      <c r="O37" s="41">
        <v>0</v>
      </c>
      <c r="P37" s="41">
        <v>0</v>
      </c>
      <c r="Q37" s="41">
        <v>0</v>
      </c>
      <c r="R37" s="41">
        <v>0</v>
      </c>
      <c r="S37" s="41">
        <v>0</v>
      </c>
      <c r="T37" s="41">
        <v>0</v>
      </c>
      <c r="U37" s="41">
        <v>0</v>
      </c>
    </row>
    <row r="38" spans="2:21" ht="39.75" customHeight="1" x14ac:dyDescent="0.2">
      <c r="B38" s="19"/>
      <c r="C38" s="16" t="s">
        <v>337</v>
      </c>
      <c r="D38" s="16">
        <v>2017</v>
      </c>
      <c r="E38" s="38" t="s">
        <v>69</v>
      </c>
      <c r="F38" s="7" t="s">
        <v>70</v>
      </c>
      <c r="G38" s="7" t="s">
        <v>71</v>
      </c>
      <c r="H38" s="7" t="s">
        <v>427</v>
      </c>
      <c r="I38" s="38"/>
      <c r="J38" s="17">
        <v>43629</v>
      </c>
      <c r="K38" s="41">
        <f>583481.5</f>
        <v>583481.5</v>
      </c>
      <c r="L38" s="41">
        <v>0</v>
      </c>
      <c r="M38" s="41">
        <f>972469.17</f>
        <v>972469.17</v>
      </c>
      <c r="N38" s="41">
        <v>0</v>
      </c>
      <c r="O38" s="41">
        <v>0</v>
      </c>
      <c r="P38" s="41">
        <f>291740.75+291740.76</f>
        <v>583481.51</v>
      </c>
      <c r="Q38" s="41">
        <v>0</v>
      </c>
      <c r="R38" s="41">
        <v>0</v>
      </c>
      <c r="S38" s="41">
        <f>583481.51</f>
        <v>583481.51</v>
      </c>
      <c r="T38" s="41">
        <v>0</v>
      </c>
      <c r="U38" s="41">
        <v>0</v>
      </c>
    </row>
    <row r="39" spans="2:21" ht="39.75" customHeight="1" x14ac:dyDescent="0.2">
      <c r="B39" s="19"/>
      <c r="C39" s="16" t="s">
        <v>687</v>
      </c>
      <c r="D39" s="16">
        <v>2018</v>
      </c>
      <c r="E39" s="38"/>
      <c r="F39" s="7" t="s">
        <v>70</v>
      </c>
      <c r="G39" s="7" t="s">
        <v>71</v>
      </c>
      <c r="H39" s="7" t="s">
        <v>688</v>
      </c>
      <c r="I39" s="38"/>
      <c r="J39" s="17">
        <v>44002</v>
      </c>
      <c r="K39" s="41"/>
      <c r="L39" s="41"/>
      <c r="M39" s="41"/>
      <c r="N39" s="41"/>
      <c r="O39" s="41">
        <v>0</v>
      </c>
      <c r="P39" s="41">
        <v>0</v>
      </c>
      <c r="Q39" s="41">
        <v>0</v>
      </c>
      <c r="R39" s="41">
        <v>0</v>
      </c>
      <c r="S39" s="41">
        <v>0</v>
      </c>
      <c r="T39" s="41">
        <v>0</v>
      </c>
      <c r="U39" s="41">
        <v>0</v>
      </c>
    </row>
    <row r="40" spans="2:21" ht="39.75" customHeight="1" x14ac:dyDescent="0.2">
      <c r="B40" s="19"/>
      <c r="C40" s="16" t="s">
        <v>370</v>
      </c>
      <c r="D40" s="16">
        <v>2018</v>
      </c>
      <c r="E40" s="38"/>
      <c r="F40" s="7" t="s">
        <v>600</v>
      </c>
      <c r="G40" s="7" t="s">
        <v>601</v>
      </c>
      <c r="H40" s="7" t="s">
        <v>602</v>
      </c>
      <c r="I40" s="38"/>
      <c r="J40" s="17">
        <v>2018</v>
      </c>
      <c r="K40" s="42" t="s">
        <v>245</v>
      </c>
      <c r="L40" s="42" t="s">
        <v>245</v>
      </c>
      <c r="M40" s="42" t="s">
        <v>245</v>
      </c>
      <c r="N40" s="42" t="s">
        <v>245</v>
      </c>
      <c r="O40" s="42">
        <v>0</v>
      </c>
      <c r="P40" s="41">
        <v>992</v>
      </c>
      <c r="Q40" s="41">
        <v>1770</v>
      </c>
      <c r="R40" s="41">
        <v>0</v>
      </c>
      <c r="S40" s="41">
        <v>0</v>
      </c>
      <c r="T40" s="41">
        <v>0</v>
      </c>
      <c r="U40" s="41">
        <v>0</v>
      </c>
    </row>
    <row r="41" spans="2:21" ht="39.75" customHeight="1" x14ac:dyDescent="0.2">
      <c r="B41" s="44" t="s">
        <v>550</v>
      </c>
      <c r="C41" s="16" t="s">
        <v>375</v>
      </c>
      <c r="D41" s="16">
        <v>2018</v>
      </c>
      <c r="E41" s="38"/>
      <c r="F41" s="7" t="s">
        <v>282</v>
      </c>
      <c r="G41" s="7" t="s">
        <v>283</v>
      </c>
      <c r="H41" s="7" t="s">
        <v>376</v>
      </c>
      <c r="I41" s="38"/>
      <c r="J41" s="23" t="s">
        <v>329</v>
      </c>
      <c r="K41" s="41">
        <v>1063</v>
      </c>
      <c r="L41" s="41">
        <v>0</v>
      </c>
      <c r="M41" s="41">
        <v>0</v>
      </c>
      <c r="N41" s="41">
        <v>1277</v>
      </c>
      <c r="O41" s="41">
        <v>1805</v>
      </c>
      <c r="P41" s="41">
        <f>1348</f>
        <v>1348</v>
      </c>
      <c r="Q41" s="41">
        <v>0</v>
      </c>
      <c r="R41" s="41">
        <v>0</v>
      </c>
      <c r="S41" s="41">
        <v>0</v>
      </c>
      <c r="T41" s="41">
        <v>0</v>
      </c>
      <c r="U41" s="41">
        <v>0</v>
      </c>
    </row>
    <row r="42" spans="2:21" ht="39.75" customHeight="1" x14ac:dyDescent="0.2">
      <c r="B42" s="44" t="s">
        <v>550</v>
      </c>
      <c r="C42" s="16" t="s">
        <v>598</v>
      </c>
      <c r="D42" s="16">
        <v>2018</v>
      </c>
      <c r="E42" s="38"/>
      <c r="F42" s="7" t="s">
        <v>282</v>
      </c>
      <c r="G42" s="7" t="s">
        <v>283</v>
      </c>
      <c r="H42" s="7" t="s">
        <v>599</v>
      </c>
      <c r="I42" s="38"/>
      <c r="J42" s="23" t="s">
        <v>329</v>
      </c>
      <c r="K42" s="42" t="s">
        <v>245</v>
      </c>
      <c r="L42" s="42" t="s">
        <v>245</v>
      </c>
      <c r="M42" s="42" t="s">
        <v>245</v>
      </c>
      <c r="N42" s="42" t="s">
        <v>245</v>
      </c>
      <c r="O42" s="42">
        <v>0</v>
      </c>
      <c r="P42" s="42">
        <v>0</v>
      </c>
      <c r="Q42" s="41">
        <v>3200</v>
      </c>
      <c r="R42" s="42">
        <v>0</v>
      </c>
      <c r="S42" s="41">
        <v>0</v>
      </c>
      <c r="T42" s="41">
        <v>0</v>
      </c>
      <c r="U42" s="41">
        <v>784</v>
      </c>
    </row>
    <row r="43" spans="2:21" ht="39.75" customHeight="1" x14ac:dyDescent="0.2">
      <c r="B43" s="44" t="s">
        <v>550</v>
      </c>
      <c r="C43" s="16" t="s">
        <v>603</v>
      </c>
      <c r="D43" s="16">
        <v>2018</v>
      </c>
      <c r="E43" s="38"/>
      <c r="F43" s="7" t="s">
        <v>604</v>
      </c>
      <c r="G43" s="7" t="s">
        <v>605</v>
      </c>
      <c r="H43" s="7" t="s">
        <v>606</v>
      </c>
      <c r="I43" s="38"/>
      <c r="J43" s="23" t="s">
        <v>329</v>
      </c>
      <c r="K43" s="42"/>
      <c r="L43" s="42"/>
      <c r="M43" s="42"/>
      <c r="N43" s="42"/>
      <c r="O43" s="42">
        <v>0</v>
      </c>
      <c r="P43" s="42">
        <v>1800</v>
      </c>
      <c r="Q43" s="42">
        <v>0</v>
      </c>
      <c r="R43" s="42">
        <v>0</v>
      </c>
      <c r="S43" s="41">
        <v>0</v>
      </c>
      <c r="T43" s="41">
        <v>0</v>
      </c>
      <c r="U43" s="41">
        <v>0</v>
      </c>
    </row>
    <row r="44" spans="2:21" ht="39.75" customHeight="1" x14ac:dyDescent="0.2">
      <c r="B44" s="44" t="s">
        <v>550</v>
      </c>
      <c r="C44" s="16" t="s">
        <v>607</v>
      </c>
      <c r="D44" s="16">
        <v>2018</v>
      </c>
      <c r="E44" s="38"/>
      <c r="F44" s="7" t="s">
        <v>608</v>
      </c>
      <c r="G44" s="7" t="s">
        <v>609</v>
      </c>
      <c r="H44" s="7" t="s">
        <v>610</v>
      </c>
      <c r="I44" s="38"/>
      <c r="J44" s="23" t="s">
        <v>329</v>
      </c>
      <c r="K44" s="42"/>
      <c r="L44" s="42"/>
      <c r="M44" s="42"/>
      <c r="N44" s="42"/>
      <c r="O44" s="42">
        <v>0</v>
      </c>
      <c r="P44" s="42">
        <v>3794</v>
      </c>
      <c r="Q44" s="42">
        <v>0</v>
      </c>
      <c r="R44" s="42">
        <v>0</v>
      </c>
      <c r="S44" s="41">
        <v>0</v>
      </c>
      <c r="T44" s="41">
        <v>0</v>
      </c>
      <c r="U44" s="41">
        <v>0</v>
      </c>
    </row>
    <row r="45" spans="2:21" ht="39.75" customHeight="1" x14ac:dyDescent="0.2">
      <c r="B45" s="44" t="s">
        <v>550</v>
      </c>
      <c r="C45" s="16" t="s">
        <v>690</v>
      </c>
      <c r="D45" s="16">
        <v>2018</v>
      </c>
      <c r="E45" s="38"/>
      <c r="F45" s="7" t="s">
        <v>691</v>
      </c>
      <c r="G45" s="7" t="s">
        <v>692</v>
      </c>
      <c r="H45" s="7" t="s">
        <v>693</v>
      </c>
      <c r="I45" s="38"/>
      <c r="J45" s="23" t="s">
        <v>329</v>
      </c>
      <c r="K45" s="42"/>
      <c r="L45" s="42"/>
      <c r="M45" s="42"/>
      <c r="N45" s="42"/>
      <c r="O45" s="42"/>
      <c r="P45" s="42">
        <v>0</v>
      </c>
      <c r="Q45" s="42">
        <v>0</v>
      </c>
      <c r="R45" s="42">
        <v>0</v>
      </c>
      <c r="S45" s="41">
        <v>15999.5</v>
      </c>
      <c r="T45" s="41">
        <v>0</v>
      </c>
      <c r="U45" s="41">
        <v>0</v>
      </c>
    </row>
    <row r="46" spans="2:21" ht="39.75" customHeight="1" x14ac:dyDescent="0.2">
      <c r="B46" s="44" t="s">
        <v>550</v>
      </c>
      <c r="C46" s="16" t="s">
        <v>694</v>
      </c>
      <c r="D46" s="16">
        <v>2018</v>
      </c>
      <c r="E46" s="38"/>
      <c r="F46" s="7" t="s">
        <v>695</v>
      </c>
      <c r="G46" s="7" t="s">
        <v>696</v>
      </c>
      <c r="H46" s="7" t="s">
        <v>697</v>
      </c>
      <c r="I46" s="38"/>
      <c r="J46" s="23" t="s">
        <v>329</v>
      </c>
      <c r="K46" s="42"/>
      <c r="L46" s="42"/>
      <c r="M46" s="42"/>
      <c r="N46" s="42"/>
      <c r="O46" s="42"/>
      <c r="P46" s="42">
        <v>0</v>
      </c>
      <c r="Q46" s="42">
        <v>0</v>
      </c>
      <c r="R46" s="42">
        <v>0</v>
      </c>
      <c r="S46" s="41">
        <v>1900</v>
      </c>
      <c r="T46" s="41">
        <v>0</v>
      </c>
      <c r="U46" s="41">
        <v>0</v>
      </c>
    </row>
    <row r="47" spans="2:21" ht="39.75" customHeight="1" x14ac:dyDescent="0.2">
      <c r="B47" s="44" t="s">
        <v>550</v>
      </c>
      <c r="C47" s="16" t="s">
        <v>698</v>
      </c>
      <c r="D47" s="16">
        <v>2018</v>
      </c>
      <c r="E47" s="38"/>
      <c r="F47" s="7" t="s">
        <v>699</v>
      </c>
      <c r="G47" s="7" t="s">
        <v>700</v>
      </c>
      <c r="H47" s="7" t="s">
        <v>649</v>
      </c>
      <c r="I47" s="38"/>
      <c r="J47" s="23" t="s">
        <v>329</v>
      </c>
      <c r="K47" s="42"/>
      <c r="L47" s="42"/>
      <c r="M47" s="42"/>
      <c r="N47" s="42"/>
      <c r="O47" s="42"/>
      <c r="P47" s="42">
        <v>0</v>
      </c>
      <c r="Q47" s="42">
        <v>0</v>
      </c>
      <c r="R47" s="42">
        <v>0</v>
      </c>
      <c r="S47" s="41">
        <v>69.989999999999995</v>
      </c>
      <c r="T47" s="41">
        <v>0</v>
      </c>
      <c r="U47" s="41">
        <v>0</v>
      </c>
    </row>
    <row r="48" spans="2:21" ht="39.75" customHeight="1" x14ac:dyDescent="0.2">
      <c r="B48" s="44" t="s">
        <v>550</v>
      </c>
      <c r="C48" s="16" t="s">
        <v>705</v>
      </c>
      <c r="D48" s="16">
        <v>2018</v>
      </c>
      <c r="E48" s="38"/>
      <c r="F48" s="7" t="s">
        <v>706</v>
      </c>
      <c r="G48" s="7" t="s">
        <v>707</v>
      </c>
      <c r="H48" s="7" t="s">
        <v>708</v>
      </c>
      <c r="I48" s="38"/>
      <c r="J48" s="23" t="s">
        <v>329</v>
      </c>
      <c r="K48" s="42"/>
      <c r="L48" s="42"/>
      <c r="M48" s="42"/>
      <c r="N48" s="42"/>
      <c r="O48" s="42"/>
      <c r="P48" s="42">
        <v>0</v>
      </c>
      <c r="Q48" s="42">
        <v>0</v>
      </c>
      <c r="R48" s="42">
        <v>0</v>
      </c>
      <c r="S48" s="41">
        <v>0</v>
      </c>
      <c r="T48" s="41">
        <v>7350</v>
      </c>
      <c r="U48" s="41">
        <v>0</v>
      </c>
    </row>
    <row r="49" spans="2:21" ht="39.75" customHeight="1" x14ac:dyDescent="0.2">
      <c r="B49" s="44" t="s">
        <v>550</v>
      </c>
      <c r="C49" s="16" t="s">
        <v>722</v>
      </c>
      <c r="D49" s="16">
        <v>2018</v>
      </c>
      <c r="E49" s="38"/>
      <c r="F49" s="7" t="s">
        <v>706</v>
      </c>
      <c r="G49" s="7" t="s">
        <v>707</v>
      </c>
      <c r="H49" s="7" t="s">
        <v>708</v>
      </c>
      <c r="I49" s="38"/>
      <c r="J49" s="23" t="s">
        <v>329</v>
      </c>
      <c r="K49" s="42"/>
      <c r="L49" s="42"/>
      <c r="M49" s="42"/>
      <c r="N49" s="42"/>
      <c r="O49" s="42"/>
      <c r="P49" s="42">
        <v>0</v>
      </c>
      <c r="Q49" s="42">
        <v>0</v>
      </c>
      <c r="R49" s="42">
        <v>0</v>
      </c>
      <c r="S49" s="41">
        <v>0</v>
      </c>
      <c r="T49" s="41">
        <v>7600</v>
      </c>
      <c r="U49" s="41">
        <v>0</v>
      </c>
    </row>
    <row r="50" spans="2:21" ht="39.75" customHeight="1" x14ac:dyDescent="0.2">
      <c r="B50" s="44" t="s">
        <v>550</v>
      </c>
      <c r="C50" s="16" t="s">
        <v>709</v>
      </c>
      <c r="D50" s="16">
        <v>2018</v>
      </c>
      <c r="E50" s="38"/>
      <c r="F50" s="7" t="s">
        <v>710</v>
      </c>
      <c r="G50" s="7" t="s">
        <v>711</v>
      </c>
      <c r="H50" s="7" t="s">
        <v>712</v>
      </c>
      <c r="I50" s="38"/>
      <c r="J50" s="23" t="s">
        <v>329</v>
      </c>
      <c r="K50" s="42"/>
      <c r="L50" s="42"/>
      <c r="M50" s="42"/>
      <c r="N50" s="42"/>
      <c r="O50" s="42"/>
      <c r="P50" s="42">
        <v>0</v>
      </c>
      <c r="Q50" s="42">
        <v>0</v>
      </c>
      <c r="R50" s="42">
        <v>0</v>
      </c>
      <c r="S50" s="41">
        <v>0</v>
      </c>
      <c r="T50" s="41">
        <v>3550</v>
      </c>
      <c r="U50" s="41">
        <v>0</v>
      </c>
    </row>
    <row r="51" spans="2:21" ht="39.75" customHeight="1" x14ac:dyDescent="0.2">
      <c r="B51" s="19"/>
      <c r="C51" s="16" t="s">
        <v>265</v>
      </c>
      <c r="D51" s="16">
        <v>2017</v>
      </c>
      <c r="E51" s="38"/>
      <c r="F51" s="7" t="s">
        <v>266</v>
      </c>
      <c r="G51" s="7" t="s">
        <v>120</v>
      </c>
      <c r="H51" s="7" t="s">
        <v>436</v>
      </c>
      <c r="I51" s="38"/>
      <c r="J51" s="17">
        <v>43657</v>
      </c>
      <c r="K51" s="41">
        <v>18366.12</v>
      </c>
      <c r="L51" s="41">
        <f>19100+19100</f>
        <v>38200</v>
      </c>
      <c r="M51" s="41">
        <v>19100</v>
      </c>
      <c r="N51" s="41">
        <v>0</v>
      </c>
      <c r="O51" s="41">
        <f>19100+19100</f>
        <v>38200</v>
      </c>
      <c r="P51" s="41">
        <f>7003.33+12325.94</f>
        <v>19329.27</v>
      </c>
      <c r="Q51" s="41">
        <f>19462.01</f>
        <v>19462.009999999998</v>
      </c>
      <c r="R51" s="41">
        <v>0</v>
      </c>
      <c r="S51" s="41">
        <f>19462.01+19462.01</f>
        <v>38924.019999999997</v>
      </c>
      <c r="T51" s="41">
        <f>19462.01</f>
        <v>19462.009999999998</v>
      </c>
      <c r="U51" s="41">
        <v>19462.009999999998</v>
      </c>
    </row>
    <row r="52" spans="2:21" ht="39.75" customHeight="1" x14ac:dyDescent="0.2">
      <c r="B52" s="19"/>
      <c r="C52" s="16" t="s">
        <v>280</v>
      </c>
      <c r="D52" s="16">
        <v>2017</v>
      </c>
      <c r="E52" s="38"/>
      <c r="F52" s="7" t="s">
        <v>277</v>
      </c>
      <c r="G52" s="7" t="s">
        <v>267</v>
      </c>
      <c r="H52" s="7" t="s">
        <v>437</v>
      </c>
      <c r="I52" s="38"/>
      <c r="J52" s="17">
        <v>43315</v>
      </c>
      <c r="K52" s="41">
        <f>23332.63</f>
        <v>23332.63</v>
      </c>
      <c r="L52" s="41">
        <f>25045.53</f>
        <v>25045.53</v>
      </c>
      <c r="M52" s="41">
        <f>24286.95</f>
        <v>24286.95</v>
      </c>
      <c r="N52" s="41">
        <v>0</v>
      </c>
      <c r="O52" s="41">
        <f>25193.53</f>
        <v>25193.53</v>
      </c>
      <c r="P52" s="41">
        <f>23841.57+23312.89</f>
        <v>47154.46</v>
      </c>
      <c r="Q52" s="41">
        <v>23000.44</v>
      </c>
      <c r="R52" s="41">
        <v>22205.35</v>
      </c>
      <c r="S52" s="41">
        <f>22632.62</f>
        <v>22632.62</v>
      </c>
      <c r="T52" s="41">
        <v>0</v>
      </c>
      <c r="U52" s="41">
        <f>23340.54+22330.25</f>
        <v>45670.79</v>
      </c>
    </row>
    <row r="53" spans="2:21" ht="39.75" customHeight="1" x14ac:dyDescent="0.2">
      <c r="B53" s="19"/>
      <c r="C53" s="16" t="s">
        <v>73</v>
      </c>
      <c r="D53" s="16">
        <v>2016</v>
      </c>
      <c r="E53" s="38" t="s">
        <v>12</v>
      </c>
      <c r="F53" s="7" t="s">
        <v>74</v>
      </c>
      <c r="G53" s="7" t="s">
        <v>75</v>
      </c>
      <c r="H53" s="7" t="s">
        <v>76</v>
      </c>
      <c r="I53" s="38" t="s">
        <v>77</v>
      </c>
      <c r="J53" s="17">
        <v>43658</v>
      </c>
      <c r="K53" s="41">
        <f>424747.36</f>
        <v>424747.36</v>
      </c>
      <c r="L53" s="41">
        <f>460341.88</f>
        <v>460341.88</v>
      </c>
      <c r="M53" s="41">
        <f>436612.2</f>
        <v>436612.2</v>
      </c>
      <c r="N53" s="41">
        <v>436612.2</v>
      </c>
      <c r="O53" s="41">
        <f>436612.2</f>
        <v>436612.2</v>
      </c>
      <c r="P53" s="41">
        <f>106775.6+328465.06</f>
        <v>435240.66000000003</v>
      </c>
      <c r="Q53" s="41">
        <f>436092.11</f>
        <v>436092.11</v>
      </c>
      <c r="R53" s="41">
        <f>436612.2</f>
        <v>436612.2</v>
      </c>
      <c r="S53" s="41">
        <f>434955.4</f>
        <v>434955.4</v>
      </c>
      <c r="T53" s="41">
        <f>434292.67</f>
        <v>434292.67</v>
      </c>
      <c r="U53" s="41">
        <f>433017.68</f>
        <v>433017.68</v>
      </c>
    </row>
    <row r="54" spans="2:21" ht="39.75" customHeight="1" x14ac:dyDescent="0.2">
      <c r="B54" s="44" t="s">
        <v>550</v>
      </c>
      <c r="C54" s="25" t="s">
        <v>215</v>
      </c>
      <c r="D54" s="16">
        <v>2017</v>
      </c>
      <c r="E54" s="38"/>
      <c r="F54" s="7" t="s">
        <v>285</v>
      </c>
      <c r="G54" s="7" t="s">
        <v>286</v>
      </c>
      <c r="H54" s="8" t="s">
        <v>435</v>
      </c>
      <c r="I54" s="38"/>
      <c r="J54" s="17">
        <v>43638</v>
      </c>
      <c r="K54" s="41">
        <v>6611.3</v>
      </c>
      <c r="L54" s="41">
        <v>0</v>
      </c>
      <c r="M54" s="41">
        <v>0</v>
      </c>
      <c r="N54" s="41">
        <v>0</v>
      </c>
      <c r="O54" s="41">
        <v>0</v>
      </c>
      <c r="P54" s="41">
        <v>0</v>
      </c>
      <c r="Q54" s="41">
        <v>0</v>
      </c>
      <c r="R54" s="41">
        <v>0</v>
      </c>
      <c r="S54" s="41">
        <v>0</v>
      </c>
      <c r="T54" s="41">
        <v>0</v>
      </c>
      <c r="U54" s="41">
        <v>0</v>
      </c>
    </row>
    <row r="55" spans="2:21" ht="39.75" customHeight="1" x14ac:dyDescent="0.2">
      <c r="B55" s="44" t="s">
        <v>550</v>
      </c>
      <c r="C55" s="16" t="s">
        <v>81</v>
      </c>
      <c r="D55" s="16">
        <v>2016</v>
      </c>
      <c r="E55" s="38" t="s">
        <v>12</v>
      </c>
      <c r="F55" s="7" t="s">
        <v>82</v>
      </c>
      <c r="G55" s="7" t="s">
        <v>83</v>
      </c>
      <c r="H55" s="7" t="s">
        <v>84</v>
      </c>
      <c r="I55" s="38" t="s">
        <v>85</v>
      </c>
      <c r="J55" s="17">
        <v>43260</v>
      </c>
      <c r="K55" s="41">
        <v>18429.599999999999</v>
      </c>
      <c r="L55" s="41">
        <v>19326.599999999999</v>
      </c>
      <c r="M55" s="41">
        <f>18878.1</f>
        <v>18878.099999999999</v>
      </c>
      <c r="N55" s="41">
        <v>18878.099999999999</v>
      </c>
      <c r="O55" s="41">
        <v>18878.099999999999</v>
      </c>
      <c r="P55" s="41">
        <v>0</v>
      </c>
      <c r="Q55" s="41">
        <v>0</v>
      </c>
      <c r="R55" s="41">
        <v>0</v>
      </c>
      <c r="S55" s="41">
        <v>0</v>
      </c>
      <c r="T55" s="41">
        <v>0</v>
      </c>
      <c r="U55" s="41">
        <v>0</v>
      </c>
    </row>
    <row r="56" spans="2:21" ht="39.75" customHeight="1" x14ac:dyDescent="0.2">
      <c r="B56" s="44" t="s">
        <v>550</v>
      </c>
      <c r="C56" s="16" t="s">
        <v>86</v>
      </c>
      <c r="D56" s="16">
        <v>2014</v>
      </c>
      <c r="E56" s="38" t="s">
        <v>43</v>
      </c>
      <c r="F56" s="7" t="s">
        <v>87</v>
      </c>
      <c r="G56" s="7" t="s">
        <v>88</v>
      </c>
      <c r="H56" s="7" t="s">
        <v>89</v>
      </c>
      <c r="I56" s="38" t="s">
        <v>90</v>
      </c>
      <c r="J56" s="17">
        <v>43308</v>
      </c>
      <c r="K56" s="41">
        <v>1738.82</v>
      </c>
      <c r="L56" s="41">
        <f>17205.92</f>
        <v>17205.919999999998</v>
      </c>
      <c r="M56" s="41">
        <f>0</f>
        <v>0</v>
      </c>
      <c r="N56" s="41">
        <f>31860.7</f>
        <v>31860.7</v>
      </c>
      <c r="O56" s="41">
        <f>35023.26+9072.08</f>
        <v>44095.340000000004</v>
      </c>
      <c r="P56" s="41">
        <f>8662.22+6362.45</f>
        <v>15024.669999999998</v>
      </c>
      <c r="Q56" s="42" t="s">
        <v>245</v>
      </c>
      <c r="R56" s="42" t="s">
        <v>245</v>
      </c>
      <c r="S56" s="41">
        <v>0</v>
      </c>
      <c r="T56" s="41">
        <v>0</v>
      </c>
      <c r="U56" s="41">
        <v>0</v>
      </c>
    </row>
    <row r="57" spans="2:21" ht="39.75" customHeight="1" x14ac:dyDescent="0.2">
      <c r="B57" s="19"/>
      <c r="C57" s="16" t="s">
        <v>671</v>
      </c>
      <c r="D57" s="16">
        <v>2018</v>
      </c>
      <c r="E57" s="7" t="s">
        <v>87</v>
      </c>
      <c r="F57" s="7" t="s">
        <v>672</v>
      </c>
      <c r="G57" s="7" t="s">
        <v>88</v>
      </c>
      <c r="H57" s="17" t="s">
        <v>89</v>
      </c>
      <c r="I57" s="41">
        <v>44095.340000000004</v>
      </c>
      <c r="J57" s="45" t="s">
        <v>673</v>
      </c>
      <c r="K57" s="42" t="s">
        <v>245</v>
      </c>
      <c r="L57" s="42" t="s">
        <v>245</v>
      </c>
      <c r="M57" s="41"/>
      <c r="N57" s="41"/>
      <c r="O57" s="42" t="s">
        <v>245</v>
      </c>
      <c r="P57" s="42">
        <v>0</v>
      </c>
      <c r="Q57" s="42">
        <v>0</v>
      </c>
      <c r="R57" s="41">
        <v>0</v>
      </c>
      <c r="S57" s="41">
        <f>6620.59+6569.68</f>
        <v>13190.27</v>
      </c>
      <c r="T57" s="41">
        <v>0</v>
      </c>
      <c r="U57" s="41">
        <f>6288.16+6744.1</f>
        <v>13032.26</v>
      </c>
    </row>
    <row r="58" spans="2:21" ht="39.75" customHeight="1" x14ac:dyDescent="0.2">
      <c r="B58" s="19"/>
      <c r="C58" s="16" t="s">
        <v>91</v>
      </c>
      <c r="D58" s="16">
        <v>2014</v>
      </c>
      <c r="E58" s="38" t="s">
        <v>43</v>
      </c>
      <c r="F58" s="7" t="s">
        <v>92</v>
      </c>
      <c r="G58" s="7" t="s">
        <v>88</v>
      </c>
      <c r="H58" s="7" t="s">
        <v>93</v>
      </c>
      <c r="I58" s="38" t="s">
        <v>94</v>
      </c>
      <c r="J58" s="17">
        <v>43333</v>
      </c>
      <c r="K58" s="41">
        <v>29775.200000000001</v>
      </c>
      <c r="L58" s="41">
        <v>0</v>
      </c>
      <c r="M58" s="41">
        <v>0</v>
      </c>
      <c r="N58" s="41">
        <v>0</v>
      </c>
      <c r="O58" s="41">
        <f>29775.2+29775.2+29775.2+29775.2</f>
        <v>119100.8</v>
      </c>
      <c r="P58" s="42" t="s">
        <v>245</v>
      </c>
      <c r="Q58" s="41">
        <f>29775.2</f>
        <v>29775.200000000001</v>
      </c>
      <c r="R58" s="41">
        <v>29775.200000000001</v>
      </c>
      <c r="S58" s="41">
        <f>33826.32+33826.32</f>
        <v>67652.639999999999</v>
      </c>
      <c r="T58" s="41">
        <v>0</v>
      </c>
      <c r="U58" s="41">
        <v>67652.639999999999</v>
      </c>
    </row>
    <row r="59" spans="2:21" ht="39.75" customHeight="1" x14ac:dyDescent="0.2">
      <c r="B59" s="44" t="s">
        <v>723</v>
      </c>
      <c r="C59" s="16" t="s">
        <v>95</v>
      </c>
      <c r="D59" s="16">
        <v>2014</v>
      </c>
      <c r="E59" s="38" t="s">
        <v>54</v>
      </c>
      <c r="F59" s="8" t="s">
        <v>323</v>
      </c>
      <c r="G59" s="7" t="s">
        <v>99</v>
      </c>
      <c r="H59" s="7"/>
      <c r="I59" s="38" t="s">
        <v>97</v>
      </c>
      <c r="J59" s="17">
        <v>43055</v>
      </c>
      <c r="K59" s="41">
        <f>19551.02+20446.35</f>
        <v>39997.369999999995</v>
      </c>
      <c r="L59" s="41">
        <v>0</v>
      </c>
      <c r="M59" s="41">
        <f>27717.58+23581.54</f>
        <v>51299.12</v>
      </c>
      <c r="N59" s="41">
        <f>25720.73</f>
        <v>25720.73</v>
      </c>
      <c r="O59" s="41">
        <f>20919.99</f>
        <v>20919.990000000002</v>
      </c>
      <c r="P59" s="41">
        <f>15377.49+17715.41</f>
        <v>33092.9</v>
      </c>
      <c r="Q59" s="41">
        <v>0</v>
      </c>
      <c r="R59" s="41">
        <v>25770.34</v>
      </c>
      <c r="S59" s="41">
        <f>23691.22</f>
        <v>23691.22</v>
      </c>
      <c r="T59" s="41">
        <v>25440.93</v>
      </c>
      <c r="U59" s="41">
        <v>0</v>
      </c>
    </row>
    <row r="60" spans="2:21" ht="39.75" customHeight="1" x14ac:dyDescent="0.2">
      <c r="B60" s="44" t="s">
        <v>723</v>
      </c>
      <c r="C60" s="16" t="s">
        <v>98</v>
      </c>
      <c r="D60" s="16">
        <v>2013</v>
      </c>
      <c r="E60" s="38" t="s">
        <v>12</v>
      </c>
      <c r="F60" s="7" t="s">
        <v>289</v>
      </c>
      <c r="G60" s="7" t="s">
        <v>99</v>
      </c>
      <c r="H60" s="7" t="s">
        <v>100</v>
      </c>
      <c r="I60" s="38" t="s">
        <v>101</v>
      </c>
      <c r="J60" s="17">
        <v>43464</v>
      </c>
      <c r="K60" s="41">
        <f>20540.66</f>
        <v>20540.66</v>
      </c>
      <c r="L60" s="41">
        <f>18589.69</f>
        <v>18589.689999999999</v>
      </c>
      <c r="M60" s="41">
        <f>18731.69</f>
        <v>18731.689999999999</v>
      </c>
      <c r="N60" s="41">
        <v>1919.04</v>
      </c>
      <c r="O60" s="41">
        <v>20755.29</v>
      </c>
      <c r="P60" s="41">
        <f>17814.9+16186.16</f>
        <v>34001.06</v>
      </c>
      <c r="Q60" s="41">
        <v>0</v>
      </c>
      <c r="R60" s="41">
        <f>15176.16</f>
        <v>15176.16</v>
      </c>
      <c r="S60" s="41">
        <v>0</v>
      </c>
      <c r="T60" s="41">
        <f>19719.4+15915.78+14415.99</f>
        <v>50051.17</v>
      </c>
      <c r="U60" s="41">
        <v>1919.03</v>
      </c>
    </row>
    <row r="61" spans="2:21" ht="39.75" customHeight="1" x14ac:dyDescent="0.2">
      <c r="B61" s="44" t="s">
        <v>723</v>
      </c>
      <c r="C61" s="16" t="s">
        <v>102</v>
      </c>
      <c r="D61" s="16">
        <v>2013</v>
      </c>
      <c r="E61" s="38" t="s">
        <v>12</v>
      </c>
      <c r="F61" s="7" t="s">
        <v>290</v>
      </c>
      <c r="G61" s="7" t="s">
        <v>99</v>
      </c>
      <c r="H61" s="7" t="s">
        <v>100</v>
      </c>
      <c r="I61" s="38" t="s">
        <v>103</v>
      </c>
      <c r="J61" s="17">
        <v>43464</v>
      </c>
      <c r="K61" s="41">
        <v>1364.11</v>
      </c>
      <c r="L61" s="41">
        <v>0</v>
      </c>
      <c r="M61" s="41">
        <f>1426.58+1000.99</f>
        <v>2427.5699999999997</v>
      </c>
      <c r="N61" s="41">
        <f>1192.07</f>
        <v>1192.07</v>
      </c>
      <c r="O61" s="41">
        <f>1450.15</f>
        <v>1450.15</v>
      </c>
      <c r="P61" s="41">
        <f>1393.14</f>
        <v>1393.14</v>
      </c>
      <c r="Q61" s="41">
        <v>1139.18</v>
      </c>
      <c r="R61" s="41">
        <v>634.1</v>
      </c>
      <c r="S61" s="41">
        <f>1199.97</f>
        <v>1199.97</v>
      </c>
      <c r="T61" s="41">
        <v>0</v>
      </c>
      <c r="U61" s="41">
        <f>1159.67+1634.18</f>
        <v>2793.8500000000004</v>
      </c>
    </row>
    <row r="62" spans="2:21" ht="39.75" customHeight="1" x14ac:dyDescent="0.2">
      <c r="B62" s="19"/>
      <c r="C62" s="16" t="s">
        <v>682</v>
      </c>
      <c r="D62" s="16">
        <v>2018</v>
      </c>
      <c r="E62" s="38"/>
      <c r="F62" s="7" t="s">
        <v>681</v>
      </c>
      <c r="G62" s="7" t="s">
        <v>99</v>
      </c>
      <c r="H62" s="7" t="s">
        <v>683</v>
      </c>
      <c r="I62" s="38"/>
      <c r="J62" s="17">
        <v>43790</v>
      </c>
      <c r="K62" s="41"/>
      <c r="L62" s="41"/>
      <c r="M62" s="41"/>
      <c r="N62" s="41"/>
      <c r="O62" s="41">
        <v>0</v>
      </c>
      <c r="P62" s="41">
        <v>0</v>
      </c>
      <c r="Q62" s="41">
        <v>0</v>
      </c>
      <c r="R62" s="41">
        <v>0</v>
      </c>
      <c r="S62" s="41">
        <v>0</v>
      </c>
      <c r="T62" s="41">
        <v>0</v>
      </c>
      <c r="U62" s="41">
        <v>0</v>
      </c>
    </row>
    <row r="63" spans="2:21" ht="39.75" customHeight="1" x14ac:dyDescent="0.2">
      <c r="B63" s="19"/>
      <c r="C63" s="16" t="s">
        <v>720</v>
      </c>
      <c r="D63" s="16">
        <v>2019</v>
      </c>
      <c r="E63" s="38"/>
      <c r="F63" s="7" t="s">
        <v>724</v>
      </c>
      <c r="G63" s="7" t="s">
        <v>99</v>
      </c>
      <c r="H63" s="7" t="s">
        <v>683</v>
      </c>
      <c r="I63" s="38"/>
      <c r="J63" s="17" t="s">
        <v>725</v>
      </c>
      <c r="K63" s="41"/>
      <c r="L63" s="41"/>
      <c r="M63" s="41"/>
      <c r="N63" s="41"/>
      <c r="O63" s="41">
        <v>0</v>
      </c>
      <c r="P63" s="41">
        <v>0</v>
      </c>
      <c r="Q63" s="41">
        <v>0</v>
      </c>
      <c r="R63" s="41">
        <v>0</v>
      </c>
      <c r="S63" s="41">
        <v>0</v>
      </c>
      <c r="T63" s="41">
        <v>0</v>
      </c>
      <c r="U63" s="41">
        <v>0</v>
      </c>
    </row>
    <row r="64" spans="2:21" ht="39.75" customHeight="1" x14ac:dyDescent="0.2">
      <c r="B64" s="19"/>
      <c r="C64" s="16" t="s">
        <v>684</v>
      </c>
      <c r="D64" s="16">
        <v>2018</v>
      </c>
      <c r="E64" s="38"/>
      <c r="F64" s="7" t="s">
        <v>686</v>
      </c>
      <c r="G64" s="7" t="s">
        <v>685</v>
      </c>
      <c r="H64" s="7" t="s">
        <v>683</v>
      </c>
      <c r="I64" s="38"/>
      <c r="J64" s="17">
        <v>43790</v>
      </c>
      <c r="K64" s="41"/>
      <c r="L64" s="41"/>
      <c r="M64" s="41"/>
      <c r="N64" s="41"/>
      <c r="O64" s="41">
        <v>0</v>
      </c>
      <c r="P64" s="41">
        <v>0</v>
      </c>
      <c r="Q64" s="41">
        <v>0</v>
      </c>
      <c r="R64" s="41">
        <v>0</v>
      </c>
      <c r="S64" s="41">
        <v>0</v>
      </c>
      <c r="T64" s="41">
        <v>0</v>
      </c>
      <c r="U64" s="41">
        <v>0</v>
      </c>
    </row>
    <row r="65" spans="2:21" ht="39.75" customHeight="1" x14ac:dyDescent="0.2">
      <c r="B65" s="19"/>
      <c r="C65" s="16" t="s">
        <v>370</v>
      </c>
      <c r="D65" s="16">
        <v>2018</v>
      </c>
      <c r="E65" s="38"/>
      <c r="F65" s="7" t="s">
        <v>110</v>
      </c>
      <c r="G65" s="7" t="s">
        <v>111</v>
      </c>
      <c r="H65" s="7" t="s">
        <v>371</v>
      </c>
      <c r="I65" s="38"/>
      <c r="J65" s="17" t="s">
        <v>291</v>
      </c>
      <c r="K65" s="41">
        <v>0</v>
      </c>
      <c r="L65" s="41">
        <v>19143.16</v>
      </c>
      <c r="M65" s="41">
        <f>18746.38+19961.12</f>
        <v>38707.5</v>
      </c>
      <c r="N65" s="41">
        <f>20516.6</f>
        <v>20516.599999999999</v>
      </c>
      <c r="O65" s="41">
        <f>19028.07</f>
        <v>19028.07</v>
      </c>
      <c r="P65" s="41">
        <f>19038.5</f>
        <v>19038.5</v>
      </c>
      <c r="Q65" s="41">
        <f>21317.92</f>
        <v>21317.919999999998</v>
      </c>
      <c r="R65" s="41">
        <f>23296.97</f>
        <v>23296.97</v>
      </c>
      <c r="S65" s="41">
        <f>27594.85</f>
        <v>27594.85</v>
      </c>
      <c r="T65" s="41">
        <f>21569.33</f>
        <v>21569.33</v>
      </c>
      <c r="U65" s="41">
        <f>21901.33</f>
        <v>21901.33</v>
      </c>
    </row>
    <row r="66" spans="2:21" ht="39.75" customHeight="1" x14ac:dyDescent="0.2">
      <c r="B66" s="19"/>
      <c r="C66" s="16" t="s">
        <v>369</v>
      </c>
      <c r="D66" s="16">
        <v>2018</v>
      </c>
      <c r="E66" s="38"/>
      <c r="F66" s="7" t="s">
        <v>360</v>
      </c>
      <c r="G66" s="7" t="s">
        <v>719</v>
      </c>
      <c r="H66" s="7" t="s">
        <v>368</v>
      </c>
      <c r="I66" s="38"/>
      <c r="J66" s="17" t="s">
        <v>291</v>
      </c>
      <c r="K66" s="41">
        <v>0</v>
      </c>
      <c r="L66" s="41">
        <v>0</v>
      </c>
      <c r="M66" s="41">
        <f>2747.3+2821.52</f>
        <v>5568.82</v>
      </c>
      <c r="N66" s="41">
        <v>0</v>
      </c>
      <c r="O66" s="41">
        <f>3266.84</f>
        <v>3266.84</v>
      </c>
      <c r="P66" s="41">
        <v>3266.84</v>
      </c>
      <c r="Q66" s="41">
        <f>2895.74</f>
        <v>2895.74</v>
      </c>
      <c r="R66" s="41">
        <f>2623.6</f>
        <v>2623.6</v>
      </c>
      <c r="S66" s="41">
        <f>2975.92</f>
        <v>2975.92</v>
      </c>
      <c r="T66" s="41">
        <f>2524.64</f>
        <v>2524.64</v>
      </c>
      <c r="U66" s="41">
        <f>2400.94</f>
        <v>2400.94</v>
      </c>
    </row>
    <row r="67" spans="2:21" ht="39.75" customHeight="1" x14ac:dyDescent="0.2">
      <c r="B67" s="19"/>
      <c r="C67" s="16" t="s">
        <v>555</v>
      </c>
      <c r="D67" s="16">
        <v>2018</v>
      </c>
      <c r="E67" s="38"/>
      <c r="F67" s="7" t="s">
        <v>556</v>
      </c>
      <c r="G67" s="7" t="s">
        <v>557</v>
      </c>
      <c r="H67" s="7" t="s">
        <v>558</v>
      </c>
      <c r="I67" s="38"/>
      <c r="J67" s="17">
        <v>43663</v>
      </c>
      <c r="K67" s="41">
        <v>0</v>
      </c>
      <c r="L67" s="41">
        <v>0</v>
      </c>
      <c r="M67" s="41">
        <v>0</v>
      </c>
      <c r="N67" s="41">
        <v>0</v>
      </c>
      <c r="O67" s="41">
        <v>0</v>
      </c>
      <c r="P67" s="42">
        <v>0</v>
      </c>
      <c r="Q67" s="41">
        <v>380000</v>
      </c>
      <c r="R67" s="41">
        <v>0</v>
      </c>
      <c r="S67" s="41">
        <v>0</v>
      </c>
      <c r="T67" s="41">
        <v>0</v>
      </c>
      <c r="U67" s="41">
        <v>0</v>
      </c>
    </row>
    <row r="68" spans="2:21" ht="39.75" customHeight="1" x14ac:dyDescent="0.2">
      <c r="B68" s="43" t="s">
        <v>550</v>
      </c>
      <c r="C68" s="16" t="s">
        <v>114</v>
      </c>
      <c r="D68" s="16">
        <v>2013</v>
      </c>
      <c r="E68" s="38" t="s">
        <v>54</v>
      </c>
      <c r="F68" s="7" t="s">
        <v>115</v>
      </c>
      <c r="G68" s="7" t="s">
        <v>116</v>
      </c>
      <c r="H68" s="7" t="s">
        <v>10</v>
      </c>
      <c r="I68" s="38" t="s">
        <v>117</v>
      </c>
      <c r="J68" s="17">
        <v>43152</v>
      </c>
      <c r="K68" s="41">
        <v>38976.6</v>
      </c>
      <c r="L68" s="41">
        <v>0</v>
      </c>
      <c r="M68" s="41">
        <v>0</v>
      </c>
      <c r="N68" s="41">
        <v>0</v>
      </c>
      <c r="O68" s="41">
        <v>12040</v>
      </c>
      <c r="P68" s="41">
        <v>0</v>
      </c>
      <c r="Q68" s="41">
        <v>0</v>
      </c>
      <c r="R68" s="41">
        <v>0</v>
      </c>
      <c r="S68" s="41">
        <v>0</v>
      </c>
      <c r="T68" s="41">
        <v>0</v>
      </c>
      <c r="U68" s="41">
        <v>0</v>
      </c>
    </row>
    <row r="69" spans="2:21" ht="39.75" customHeight="1" x14ac:dyDescent="0.2">
      <c r="B69" s="43" t="s">
        <v>550</v>
      </c>
      <c r="C69" s="16" t="s">
        <v>118</v>
      </c>
      <c r="D69" s="16">
        <v>2016</v>
      </c>
      <c r="E69" s="38" t="s">
        <v>12</v>
      </c>
      <c r="F69" s="7" t="s">
        <v>119</v>
      </c>
      <c r="G69" s="7" t="s">
        <v>120</v>
      </c>
      <c r="H69" s="7" t="s">
        <v>121</v>
      </c>
      <c r="I69" s="38" t="s">
        <v>122</v>
      </c>
      <c r="J69" s="17">
        <v>43039</v>
      </c>
      <c r="K69" s="41">
        <v>0</v>
      </c>
      <c r="L69" s="41">
        <v>0</v>
      </c>
      <c r="M69" s="41">
        <v>0</v>
      </c>
      <c r="N69" s="41">
        <v>0</v>
      </c>
      <c r="O69" s="41">
        <v>0</v>
      </c>
      <c r="P69" s="41">
        <v>0</v>
      </c>
      <c r="Q69" s="41">
        <v>0</v>
      </c>
      <c r="R69" s="41">
        <v>0</v>
      </c>
      <c r="S69" s="41">
        <v>0</v>
      </c>
      <c r="T69" s="41">
        <v>0</v>
      </c>
      <c r="U69" s="41">
        <v>0</v>
      </c>
    </row>
    <row r="70" spans="2:21" ht="39.75" customHeight="1" x14ac:dyDescent="0.2">
      <c r="B70" s="43"/>
      <c r="C70" s="16" t="s">
        <v>559</v>
      </c>
      <c r="D70" s="16">
        <v>2018</v>
      </c>
      <c r="E70" s="38"/>
      <c r="F70" s="7" t="s">
        <v>560</v>
      </c>
      <c r="G70" s="7" t="s">
        <v>561</v>
      </c>
      <c r="H70" s="7" t="s">
        <v>562</v>
      </c>
      <c r="I70" s="38"/>
      <c r="J70" s="17">
        <v>43602</v>
      </c>
      <c r="K70" s="41">
        <v>0</v>
      </c>
      <c r="L70" s="41">
        <v>0</v>
      </c>
      <c r="M70" s="41">
        <v>0</v>
      </c>
      <c r="N70" s="41">
        <v>0</v>
      </c>
      <c r="O70" s="41">
        <v>0</v>
      </c>
      <c r="P70" s="41">
        <f>3921.43</f>
        <v>3921.43</v>
      </c>
      <c r="Q70" s="41">
        <f>1381.73</f>
        <v>1381.73</v>
      </c>
      <c r="R70" s="41">
        <v>0</v>
      </c>
      <c r="S70" s="41">
        <v>0</v>
      </c>
      <c r="T70" s="41">
        <v>0</v>
      </c>
      <c r="U70" s="41">
        <v>0</v>
      </c>
    </row>
    <row r="71" spans="2:21" ht="39.75" customHeight="1" x14ac:dyDescent="0.2">
      <c r="B71" s="19"/>
      <c r="C71" s="16" t="s">
        <v>454</v>
      </c>
      <c r="D71" s="16">
        <v>2018</v>
      </c>
      <c r="E71" s="38"/>
      <c r="F71" s="7" t="s">
        <v>455</v>
      </c>
      <c r="G71" s="7" t="s">
        <v>456</v>
      </c>
      <c r="H71" s="7" t="s">
        <v>457</v>
      </c>
      <c r="I71" s="38"/>
      <c r="J71" s="17">
        <v>43616</v>
      </c>
      <c r="K71" s="41">
        <v>0</v>
      </c>
      <c r="L71" s="41">
        <v>0</v>
      </c>
      <c r="M71" s="41">
        <v>0</v>
      </c>
      <c r="N71" s="41">
        <v>0</v>
      </c>
      <c r="O71" s="41">
        <v>0</v>
      </c>
      <c r="P71" s="41">
        <f>111497.04+122437.75</f>
        <v>233934.78999999998</v>
      </c>
      <c r="Q71" s="41">
        <v>0</v>
      </c>
      <c r="R71" s="41">
        <f>139811.95</f>
        <v>139811.95000000001</v>
      </c>
      <c r="S71" s="41">
        <f>127901.81</f>
        <v>127901.81</v>
      </c>
      <c r="T71" s="41">
        <f>132824.5+113398.13</f>
        <v>246222.63</v>
      </c>
      <c r="U71" s="41">
        <v>0</v>
      </c>
    </row>
    <row r="72" spans="2:21" ht="39.75" customHeight="1" x14ac:dyDescent="0.2">
      <c r="B72" s="19"/>
      <c r="C72" s="16" t="s">
        <v>246</v>
      </c>
      <c r="D72" s="16">
        <v>2017</v>
      </c>
      <c r="E72" s="38"/>
      <c r="F72" s="7" t="s">
        <v>247</v>
      </c>
      <c r="G72" s="7" t="s">
        <v>248</v>
      </c>
      <c r="H72" s="7"/>
      <c r="I72" s="38"/>
      <c r="J72" s="17">
        <v>43676</v>
      </c>
      <c r="K72" s="41">
        <f>710.64</f>
        <v>710.64</v>
      </c>
      <c r="L72" s="41">
        <f>727.56+744.48</f>
        <v>1472.04</v>
      </c>
      <c r="M72" s="41">
        <v>879.84</v>
      </c>
      <c r="N72" s="41">
        <v>795.24</v>
      </c>
      <c r="O72" s="41">
        <v>795.24</v>
      </c>
      <c r="P72" s="41">
        <f>795.24</f>
        <v>795.24</v>
      </c>
      <c r="Q72" s="41">
        <v>812.16</v>
      </c>
      <c r="R72" s="41">
        <v>744.48</v>
      </c>
      <c r="S72" s="41">
        <v>761.4</v>
      </c>
      <c r="T72" s="41">
        <v>778.32</v>
      </c>
      <c r="U72" s="41">
        <v>778.32</v>
      </c>
    </row>
    <row r="73" spans="2:21" ht="39.75" customHeight="1" x14ac:dyDescent="0.2">
      <c r="B73" s="43" t="s">
        <v>550</v>
      </c>
      <c r="C73" s="16" t="s">
        <v>187</v>
      </c>
      <c r="D73" s="16">
        <v>2017</v>
      </c>
      <c r="E73" s="38"/>
      <c r="F73" s="7" t="s">
        <v>250</v>
      </c>
      <c r="G73" s="7" t="s">
        <v>249</v>
      </c>
      <c r="H73" s="7"/>
      <c r="I73" s="38"/>
      <c r="J73" s="17">
        <v>43658</v>
      </c>
      <c r="K73" s="41">
        <v>0</v>
      </c>
      <c r="L73" s="41">
        <v>0</v>
      </c>
      <c r="M73" s="41">
        <v>0</v>
      </c>
      <c r="N73" s="41">
        <v>0</v>
      </c>
      <c r="O73" s="41">
        <v>0</v>
      </c>
      <c r="P73" s="41">
        <v>0</v>
      </c>
      <c r="Q73" s="41">
        <v>0</v>
      </c>
      <c r="R73" s="41">
        <v>0</v>
      </c>
      <c r="S73" s="41">
        <v>0</v>
      </c>
      <c r="T73" s="41">
        <v>0</v>
      </c>
      <c r="U73" s="41">
        <v>0</v>
      </c>
    </row>
    <row r="74" spans="2:21" ht="39.75" customHeight="1" x14ac:dyDescent="0.2">
      <c r="B74" s="19"/>
      <c r="C74" s="16" t="s">
        <v>269</v>
      </c>
      <c r="D74" s="16">
        <v>2017</v>
      </c>
      <c r="E74" s="38"/>
      <c r="F74" s="7" t="s">
        <v>270</v>
      </c>
      <c r="G74" s="7" t="s">
        <v>271</v>
      </c>
      <c r="H74" s="7" t="s">
        <v>272</v>
      </c>
      <c r="I74" s="38"/>
      <c r="J74" s="17">
        <v>43631</v>
      </c>
      <c r="K74" s="41">
        <v>0</v>
      </c>
      <c r="L74" s="41">
        <f>1875*2</f>
        <v>3750</v>
      </c>
      <c r="M74" s="41">
        <f>1875</f>
        <v>1875</v>
      </c>
      <c r="N74" s="41">
        <v>1875</v>
      </c>
      <c r="O74" s="41">
        <v>1875</v>
      </c>
      <c r="P74" s="41">
        <v>1875</v>
      </c>
      <c r="Q74" s="41">
        <v>1875</v>
      </c>
      <c r="R74" s="41">
        <v>1875</v>
      </c>
      <c r="S74" s="41">
        <v>0</v>
      </c>
      <c r="T74" s="41">
        <f>1875+1875</f>
        <v>3750</v>
      </c>
      <c r="U74" s="41">
        <v>1875</v>
      </c>
    </row>
    <row r="75" spans="2:21" ht="39.75" customHeight="1" x14ac:dyDescent="0.2">
      <c r="B75" s="19"/>
      <c r="C75" s="16" t="s">
        <v>123</v>
      </c>
      <c r="D75" s="16">
        <v>2016</v>
      </c>
      <c r="E75" s="38" t="s">
        <v>12</v>
      </c>
      <c r="F75" s="7" t="s">
        <v>124</v>
      </c>
      <c r="G75" s="7" t="s">
        <v>125</v>
      </c>
      <c r="H75" s="7" t="s">
        <v>727</v>
      </c>
      <c r="I75" s="38" t="s">
        <v>126</v>
      </c>
      <c r="J75" s="17">
        <v>43769</v>
      </c>
      <c r="K75" s="41">
        <v>7310.07</v>
      </c>
      <c r="L75" s="41">
        <v>0</v>
      </c>
      <c r="M75" s="41">
        <v>0</v>
      </c>
      <c r="N75" s="41">
        <f>9000.09</f>
        <v>9000.09</v>
      </c>
      <c r="O75" s="41">
        <v>0</v>
      </c>
      <c r="P75" s="41">
        <f>7253.48</f>
        <v>7253.48</v>
      </c>
      <c r="Q75" s="41">
        <v>0</v>
      </c>
      <c r="R75" s="41">
        <f>5822.87</f>
        <v>5822.87</v>
      </c>
      <c r="S75" s="41">
        <v>2715.44</v>
      </c>
      <c r="T75" s="41">
        <v>0</v>
      </c>
      <c r="U75" s="41">
        <v>0</v>
      </c>
    </row>
    <row r="76" spans="2:21" ht="39.75" customHeight="1" x14ac:dyDescent="0.2">
      <c r="B76" s="19"/>
      <c r="C76" s="16" t="s">
        <v>127</v>
      </c>
      <c r="D76" s="16">
        <v>2013</v>
      </c>
      <c r="E76" s="38" t="s">
        <v>43</v>
      </c>
      <c r="F76" s="7" t="s">
        <v>292</v>
      </c>
      <c r="G76" s="7" t="s">
        <v>128</v>
      </c>
      <c r="H76" s="7" t="s">
        <v>129</v>
      </c>
      <c r="I76" s="38" t="s">
        <v>130</v>
      </c>
      <c r="J76" s="23" t="s">
        <v>329</v>
      </c>
      <c r="K76" s="41">
        <v>0</v>
      </c>
      <c r="L76" s="41">
        <v>0</v>
      </c>
      <c r="M76" s="41">
        <v>0</v>
      </c>
      <c r="N76" s="41">
        <v>0</v>
      </c>
      <c r="O76" s="41">
        <v>0</v>
      </c>
      <c r="P76" s="41">
        <v>0</v>
      </c>
      <c r="Q76" s="41">
        <v>0</v>
      </c>
      <c r="R76" s="41">
        <f>490002.89</f>
        <v>490002.89</v>
      </c>
      <c r="S76" s="41">
        <v>0</v>
      </c>
      <c r="T76" s="41">
        <f>4950</f>
        <v>4950</v>
      </c>
      <c r="U76" s="41">
        <v>0</v>
      </c>
    </row>
    <row r="77" spans="2:21" ht="39.75" customHeight="1" x14ac:dyDescent="0.2">
      <c r="B77" s="19"/>
      <c r="C77" s="16" t="s">
        <v>152</v>
      </c>
      <c r="D77" s="16">
        <v>2015</v>
      </c>
      <c r="E77" s="38" t="s">
        <v>43</v>
      </c>
      <c r="F77" s="7" t="s">
        <v>293</v>
      </c>
      <c r="G77" s="7" t="s">
        <v>128</v>
      </c>
      <c r="H77" s="7" t="s">
        <v>129</v>
      </c>
      <c r="I77" s="38" t="s">
        <v>153</v>
      </c>
      <c r="J77" s="17">
        <v>44082</v>
      </c>
      <c r="K77" s="41">
        <v>0</v>
      </c>
      <c r="L77" s="41">
        <f>9951104.27</f>
        <v>9951104.2699999996</v>
      </c>
      <c r="M77" s="41">
        <v>0</v>
      </c>
      <c r="N77" s="41">
        <v>0</v>
      </c>
      <c r="O77" s="41">
        <v>0</v>
      </c>
      <c r="P77" s="41">
        <v>0</v>
      </c>
      <c r="Q77" s="41">
        <v>0</v>
      </c>
      <c r="R77" s="41">
        <v>0</v>
      </c>
      <c r="S77" s="41">
        <v>0</v>
      </c>
      <c r="T77" s="41">
        <v>0</v>
      </c>
      <c r="U77" s="41">
        <v>0</v>
      </c>
    </row>
    <row r="78" spans="2:21" ht="39.75" customHeight="1" x14ac:dyDescent="0.2">
      <c r="B78" s="19"/>
      <c r="C78" s="16" t="s">
        <v>713</v>
      </c>
      <c r="D78" s="16">
        <v>2018</v>
      </c>
      <c r="E78" s="38"/>
      <c r="F78" s="7" t="s">
        <v>716</v>
      </c>
      <c r="G78" s="7" t="s">
        <v>128</v>
      </c>
      <c r="H78" s="7" t="s">
        <v>714</v>
      </c>
      <c r="I78" s="38"/>
      <c r="J78" s="17">
        <v>44290</v>
      </c>
      <c r="K78" s="41"/>
      <c r="L78" s="41"/>
      <c r="M78" s="41"/>
      <c r="N78" s="41"/>
      <c r="O78" s="41"/>
      <c r="P78" s="41">
        <v>0</v>
      </c>
      <c r="Q78" s="41">
        <v>0</v>
      </c>
      <c r="R78" s="42">
        <f>1142750</f>
        <v>1142750</v>
      </c>
      <c r="S78" s="41">
        <f>2549239</f>
        <v>2549239</v>
      </c>
      <c r="T78" s="41">
        <f>651440.22</f>
        <v>651440.22</v>
      </c>
      <c r="U78" s="41">
        <v>0</v>
      </c>
    </row>
    <row r="79" spans="2:21" ht="39.75" customHeight="1" x14ac:dyDescent="0.2">
      <c r="B79" s="19"/>
      <c r="C79" s="16" t="s">
        <v>715</v>
      </c>
      <c r="D79" s="16">
        <v>2018</v>
      </c>
      <c r="E79" s="38"/>
      <c r="F79" s="7" t="s">
        <v>717</v>
      </c>
      <c r="G79" s="7" t="s">
        <v>128</v>
      </c>
      <c r="H79" s="7" t="s">
        <v>718</v>
      </c>
      <c r="I79" s="38"/>
      <c r="J79" s="17">
        <v>45235</v>
      </c>
      <c r="K79" s="41"/>
      <c r="L79" s="41"/>
      <c r="M79" s="41"/>
      <c r="N79" s="41"/>
      <c r="O79" s="41"/>
      <c r="P79" s="41">
        <v>0</v>
      </c>
      <c r="Q79" s="41">
        <v>0</v>
      </c>
      <c r="R79" s="41">
        <v>0</v>
      </c>
      <c r="S79" s="41">
        <v>0</v>
      </c>
      <c r="T79" s="41">
        <v>0</v>
      </c>
      <c r="U79" s="41">
        <v>0</v>
      </c>
    </row>
    <row r="80" spans="2:21" ht="39.75" customHeight="1" x14ac:dyDescent="0.2">
      <c r="B80" s="19"/>
      <c r="C80" s="16" t="s">
        <v>137</v>
      </c>
      <c r="D80" s="16">
        <v>2016</v>
      </c>
      <c r="E80" s="38" t="s">
        <v>12</v>
      </c>
      <c r="F80" s="7" t="s">
        <v>138</v>
      </c>
      <c r="G80" s="7" t="s">
        <v>139</v>
      </c>
      <c r="H80" s="7" t="s">
        <v>140</v>
      </c>
      <c r="I80" s="38" t="s">
        <v>141</v>
      </c>
      <c r="J80" s="17">
        <v>43449</v>
      </c>
      <c r="K80" s="41">
        <v>0</v>
      </c>
      <c r="L80" s="41">
        <v>0</v>
      </c>
      <c r="M80" s="41">
        <v>0</v>
      </c>
      <c r="N80" s="41">
        <f>10000+18501.25+12687.92+8627.71</f>
        <v>49816.88</v>
      </c>
      <c r="O80" s="41">
        <v>0</v>
      </c>
      <c r="P80" s="41">
        <v>0</v>
      </c>
      <c r="Q80" s="41">
        <f>5367.16</f>
        <v>5367.16</v>
      </c>
      <c r="R80" s="41">
        <v>0</v>
      </c>
      <c r="S80" s="41">
        <f>4691.88+2404.2</f>
        <v>7096.08</v>
      </c>
      <c r="T80" s="41">
        <v>0</v>
      </c>
      <c r="U80" s="41">
        <v>23321.51</v>
      </c>
    </row>
    <row r="81" spans="2:21" ht="39.75" customHeight="1" x14ac:dyDescent="0.2">
      <c r="B81" s="19"/>
      <c r="C81" s="16" t="s">
        <v>142</v>
      </c>
      <c r="D81" s="16">
        <v>2016</v>
      </c>
      <c r="E81" s="38" t="s">
        <v>12</v>
      </c>
      <c r="F81" s="7" t="s">
        <v>143</v>
      </c>
      <c r="G81" s="7" t="s">
        <v>144</v>
      </c>
      <c r="H81" s="7" t="s">
        <v>145</v>
      </c>
      <c r="I81" s="38" t="s">
        <v>146</v>
      </c>
      <c r="J81" s="17">
        <v>43449</v>
      </c>
      <c r="K81" s="41">
        <f>20247.25</f>
        <v>20247.25</v>
      </c>
      <c r="L81" s="41">
        <f>6976.4+7308+6584</f>
        <v>20868.400000000001</v>
      </c>
      <c r="M81" s="41">
        <f>16978.52+3356.4</f>
        <v>20334.920000000002</v>
      </c>
      <c r="N81" s="41">
        <f>0+0+19025.6</f>
        <v>19025.599999999999</v>
      </c>
      <c r="O81" s="41">
        <f>15690.85+21947+3704+17152.9+29692.35</f>
        <v>88187.1</v>
      </c>
      <c r="P81" s="41">
        <f>26555.66+596.5</f>
        <v>27152.16</v>
      </c>
      <c r="Q81" s="41">
        <f>2649.21+3239.2+31787.26</f>
        <v>37675.67</v>
      </c>
      <c r="R81" s="41">
        <f>16852.84+2749.55+407.38+2537.71+31620.15</f>
        <v>54167.630000000005</v>
      </c>
      <c r="S81" s="41">
        <f>16660.79+25685.62</f>
        <v>42346.41</v>
      </c>
      <c r="T81" s="41">
        <f>4517+64074.53+26101.32</f>
        <v>94692.85</v>
      </c>
      <c r="U81" s="41">
        <v>0</v>
      </c>
    </row>
    <row r="82" spans="2:21" ht="39.75" customHeight="1" x14ac:dyDescent="0.2">
      <c r="B82" s="43" t="s">
        <v>550</v>
      </c>
      <c r="C82" s="16" t="s">
        <v>147</v>
      </c>
      <c r="D82" s="16">
        <v>2015</v>
      </c>
      <c r="E82" s="38" t="s">
        <v>12</v>
      </c>
      <c r="F82" s="7" t="s">
        <v>148</v>
      </c>
      <c r="G82" s="7" t="s">
        <v>149</v>
      </c>
      <c r="H82" s="7" t="s">
        <v>150</v>
      </c>
      <c r="I82" s="38" t="s">
        <v>151</v>
      </c>
      <c r="J82" s="17">
        <v>43535</v>
      </c>
      <c r="K82" s="41">
        <v>0</v>
      </c>
      <c r="L82" s="41">
        <v>0</v>
      </c>
      <c r="M82" s="41">
        <v>140500</v>
      </c>
      <c r="N82" s="41">
        <v>0</v>
      </c>
      <c r="O82" s="41">
        <v>0</v>
      </c>
      <c r="P82" s="41">
        <v>0</v>
      </c>
      <c r="Q82" s="41">
        <v>0</v>
      </c>
      <c r="R82" s="41">
        <v>0</v>
      </c>
      <c r="S82" s="41">
        <v>0</v>
      </c>
      <c r="T82" s="41">
        <v>0</v>
      </c>
      <c r="U82" s="41">
        <v>0</v>
      </c>
    </row>
    <row r="83" spans="2:21" ht="39.75" customHeight="1" x14ac:dyDescent="0.2">
      <c r="B83" s="19"/>
      <c r="C83" s="16" t="s">
        <v>362</v>
      </c>
      <c r="D83" s="16">
        <v>2017</v>
      </c>
      <c r="E83" s="38" t="s">
        <v>12</v>
      </c>
      <c r="F83" s="7" t="s">
        <v>155</v>
      </c>
      <c r="G83" s="7" t="s">
        <v>156</v>
      </c>
      <c r="H83" s="7" t="s">
        <v>730</v>
      </c>
      <c r="I83" s="38" t="s">
        <v>158</v>
      </c>
      <c r="J83" s="17">
        <v>43462</v>
      </c>
      <c r="K83" s="41">
        <v>0</v>
      </c>
      <c r="L83" s="41">
        <v>1918.86</v>
      </c>
      <c r="M83" s="41">
        <f>2150.93</f>
        <v>2150.9299999999998</v>
      </c>
      <c r="N83" s="41">
        <f>1849.74</f>
        <v>1849.74</v>
      </c>
      <c r="O83" s="41">
        <f>2088.23</f>
        <v>2088.23</v>
      </c>
      <c r="P83" s="41">
        <f>2317.48</f>
        <v>2317.48</v>
      </c>
      <c r="Q83" s="41">
        <f>2636.65</f>
        <v>2636.65</v>
      </c>
      <c r="R83" s="41">
        <v>2121.81</v>
      </c>
      <c r="S83" s="41">
        <f>2493.02</f>
        <v>2493.02</v>
      </c>
      <c r="T83" s="41">
        <f>2472.25</f>
        <v>2472.25</v>
      </c>
      <c r="U83" s="41">
        <v>0</v>
      </c>
    </row>
    <row r="84" spans="2:21" ht="39.75" customHeight="1" x14ac:dyDescent="0.2">
      <c r="B84" s="19"/>
      <c r="C84" s="16" t="s">
        <v>728</v>
      </c>
      <c r="D84" s="16">
        <v>2018</v>
      </c>
      <c r="E84" s="38"/>
      <c r="F84" s="7" t="s">
        <v>155</v>
      </c>
      <c r="G84" s="7" t="s">
        <v>156</v>
      </c>
      <c r="H84" s="7" t="s">
        <v>729</v>
      </c>
      <c r="I84" s="38"/>
      <c r="J84" s="17">
        <v>2018</v>
      </c>
      <c r="K84" s="41"/>
      <c r="L84" s="41"/>
      <c r="M84" s="41"/>
      <c r="N84" s="41"/>
      <c r="O84" s="41"/>
      <c r="P84" s="41"/>
      <c r="Q84" s="41"/>
      <c r="R84" s="41">
        <v>0</v>
      </c>
      <c r="S84" s="41">
        <v>0</v>
      </c>
      <c r="T84" s="41">
        <v>0</v>
      </c>
      <c r="U84" s="41">
        <v>0</v>
      </c>
    </row>
    <row r="85" spans="2:21" ht="39.75" customHeight="1" x14ac:dyDescent="0.2">
      <c r="B85" s="19"/>
      <c r="C85" s="16" t="s">
        <v>159</v>
      </c>
      <c r="D85" s="16">
        <v>2014</v>
      </c>
      <c r="E85" s="38" t="s">
        <v>12</v>
      </c>
      <c r="F85" s="7" t="s">
        <v>160</v>
      </c>
      <c r="G85" s="7" t="s">
        <v>161</v>
      </c>
      <c r="H85" s="7" t="s">
        <v>162</v>
      </c>
      <c r="I85" s="38" t="s">
        <v>163</v>
      </c>
      <c r="J85" s="17">
        <v>43633</v>
      </c>
      <c r="K85" s="41">
        <v>0</v>
      </c>
      <c r="L85" s="41">
        <v>0</v>
      </c>
      <c r="M85" s="41">
        <v>0</v>
      </c>
      <c r="N85" s="41">
        <f>14160.61</f>
        <v>14160.61</v>
      </c>
      <c r="O85" s="41">
        <f>6238.57+1547.97+3090.46+263</f>
        <v>11140</v>
      </c>
      <c r="P85" s="41">
        <v>0</v>
      </c>
      <c r="Q85" s="41">
        <f>11271.43+1790+2053</f>
        <v>15114.43</v>
      </c>
      <c r="R85" s="41">
        <f>10917.41</f>
        <v>10917.41</v>
      </c>
      <c r="S85" s="41">
        <v>0</v>
      </c>
      <c r="T85" s="41">
        <f>4536.03+1790</f>
        <v>6326.03</v>
      </c>
      <c r="U85" s="41">
        <f>4077.4+8374.9</f>
        <v>12452.3</v>
      </c>
    </row>
    <row r="86" spans="2:21" ht="39.75" customHeight="1" x14ac:dyDescent="0.2">
      <c r="B86" s="19"/>
      <c r="C86" s="16" t="s">
        <v>164</v>
      </c>
      <c r="D86" s="16">
        <v>2017</v>
      </c>
      <c r="E86" s="38" t="s">
        <v>54</v>
      </c>
      <c r="F86" s="7" t="s">
        <v>165</v>
      </c>
      <c r="G86" s="7" t="s">
        <v>166</v>
      </c>
      <c r="H86" s="7" t="s">
        <v>167</v>
      </c>
      <c r="I86" s="38" t="s">
        <v>168</v>
      </c>
      <c r="J86" s="17">
        <v>43494</v>
      </c>
      <c r="K86" s="41">
        <f>11250</f>
        <v>11250</v>
      </c>
      <c r="L86" s="41">
        <v>11000</v>
      </c>
      <c r="M86" s="41">
        <v>9500</v>
      </c>
      <c r="N86" s="41">
        <v>0</v>
      </c>
      <c r="O86" s="41">
        <f>4500+12500</f>
        <v>17000</v>
      </c>
      <c r="P86" s="41">
        <v>11000</v>
      </c>
      <c r="Q86" s="41">
        <v>13000</v>
      </c>
      <c r="R86" s="41">
        <v>4450</v>
      </c>
      <c r="S86" s="41">
        <v>8550</v>
      </c>
      <c r="T86" s="41">
        <v>11000</v>
      </c>
      <c r="U86" s="41">
        <v>5000</v>
      </c>
    </row>
    <row r="87" spans="2:21" ht="39.75" customHeight="1" x14ac:dyDescent="0.2">
      <c r="B87" s="19"/>
      <c r="C87" s="16" t="s">
        <v>191</v>
      </c>
      <c r="D87" s="16">
        <v>2017</v>
      </c>
      <c r="E87" s="38"/>
      <c r="F87" s="7" t="s">
        <v>294</v>
      </c>
      <c r="G87" s="7" t="s">
        <v>259</v>
      </c>
      <c r="H87" s="7" t="s">
        <v>260</v>
      </c>
      <c r="I87" s="38"/>
      <c r="J87" s="17" t="s">
        <v>291</v>
      </c>
      <c r="K87" s="41">
        <v>0</v>
      </c>
      <c r="L87" s="41">
        <v>300000</v>
      </c>
      <c r="M87" s="41">
        <v>150000</v>
      </c>
      <c r="N87" s="41">
        <v>150000</v>
      </c>
      <c r="O87" s="41">
        <v>150000</v>
      </c>
      <c r="P87" s="41">
        <v>150000</v>
      </c>
      <c r="Q87" s="41">
        <v>150000</v>
      </c>
      <c r="R87" s="41">
        <v>150000</v>
      </c>
      <c r="S87" s="41">
        <v>150000</v>
      </c>
      <c r="T87" s="41">
        <v>166211.12</v>
      </c>
      <c r="U87" s="41">
        <v>166211.12</v>
      </c>
    </row>
    <row r="88" spans="2:21" ht="39.75" customHeight="1" x14ac:dyDescent="0.2">
      <c r="B88" s="19"/>
      <c r="C88" s="16" t="s">
        <v>174</v>
      </c>
      <c r="D88" s="16">
        <v>2016</v>
      </c>
      <c r="E88" s="38" t="s">
        <v>12</v>
      </c>
      <c r="F88" s="7" t="s">
        <v>175</v>
      </c>
      <c r="G88" s="7" t="s">
        <v>176</v>
      </c>
      <c r="H88" s="7" t="s">
        <v>121</v>
      </c>
      <c r="I88" s="38" t="s">
        <v>177</v>
      </c>
      <c r="J88" s="17">
        <v>43404</v>
      </c>
      <c r="K88" s="41">
        <f>409051.49</f>
        <v>409051.49</v>
      </c>
      <c r="L88" s="41">
        <v>0</v>
      </c>
      <c r="M88" s="41">
        <f>602469.82+510510.44</f>
        <v>1112980.26</v>
      </c>
      <c r="N88" s="41">
        <v>0</v>
      </c>
      <c r="O88" s="41">
        <f>384587.77+570691.95</f>
        <v>955279.72</v>
      </c>
      <c r="P88" s="41">
        <f>129275.59</f>
        <v>129275.59</v>
      </c>
      <c r="Q88" s="41">
        <f>129773.9</f>
        <v>129773.9</v>
      </c>
      <c r="R88" s="41">
        <f>343904.4</f>
        <v>343904.4</v>
      </c>
      <c r="S88" s="41">
        <v>0</v>
      </c>
      <c r="T88" s="41">
        <f>414607.32+737265.52</f>
        <v>1151872.8400000001</v>
      </c>
      <c r="U88" s="41">
        <f>360542.42</f>
        <v>360542.42</v>
      </c>
    </row>
    <row r="89" spans="2:21" ht="39.75" customHeight="1" x14ac:dyDescent="0.2">
      <c r="B89" s="19"/>
      <c r="C89" s="16" t="s">
        <v>234</v>
      </c>
      <c r="D89" s="16">
        <v>2017</v>
      </c>
      <c r="E89" s="38"/>
      <c r="F89" s="7" t="s">
        <v>345</v>
      </c>
      <c r="G89" s="7" t="s">
        <v>255</v>
      </c>
      <c r="H89" s="7" t="s">
        <v>343</v>
      </c>
      <c r="I89" s="38"/>
      <c r="J89" s="23" t="s">
        <v>344</v>
      </c>
      <c r="K89" s="41">
        <v>1440</v>
      </c>
      <c r="L89" s="41">
        <v>9033</v>
      </c>
      <c r="M89" s="41">
        <f>13068</f>
        <v>13068</v>
      </c>
      <c r="N89" s="41">
        <v>0</v>
      </c>
      <c r="O89" s="41">
        <v>0</v>
      </c>
      <c r="P89" s="41">
        <v>0</v>
      </c>
      <c r="Q89" s="41">
        <f>8136+12446</f>
        <v>20582</v>
      </c>
      <c r="R89" s="41">
        <f>4042.5</f>
        <v>4042.5</v>
      </c>
      <c r="S89" s="41">
        <v>0</v>
      </c>
      <c r="T89" s="41">
        <f>3880+6900</f>
        <v>10780</v>
      </c>
      <c r="U89" s="41">
        <v>0</v>
      </c>
    </row>
    <row r="90" spans="2:21" ht="39.75" customHeight="1" x14ac:dyDescent="0.2">
      <c r="B90" s="19"/>
      <c r="C90" s="25" t="s">
        <v>273</v>
      </c>
      <c r="D90" s="16">
        <v>2017</v>
      </c>
      <c r="E90" s="37"/>
      <c r="F90" s="8" t="s">
        <v>274</v>
      </c>
      <c r="G90" s="7" t="s">
        <v>275</v>
      </c>
      <c r="H90" s="8" t="s">
        <v>276</v>
      </c>
      <c r="I90" s="37"/>
      <c r="J90" s="17">
        <v>43649</v>
      </c>
      <c r="K90" s="41">
        <f>83068.85</f>
        <v>83068.850000000006</v>
      </c>
      <c r="L90" s="41">
        <f>49300.31</f>
        <v>49300.31</v>
      </c>
      <c r="M90" s="41">
        <f>25083.85+
4202.26+
314.08+12673.42+
411.28+501.9+
5359.47+
2873.44+
117.48</f>
        <v>51537.180000000008</v>
      </c>
      <c r="N90" s="41">
        <v>0</v>
      </c>
      <c r="O90" s="41">
        <f>530.31+
1601.5+
75857.41+3566.11+379.49+
12750.92+97.08+
7298.51</f>
        <v>102081.33</v>
      </c>
      <c r="P90" s="41">
        <f>427.5+
30269.43+15143.47+
15143.47+
100.36+
15144.22+15104.81</f>
        <v>91333.26</v>
      </c>
      <c r="Q90" s="41">
        <v>0</v>
      </c>
      <c r="R90" s="41">
        <f>35362.54+327.33+26888.71+27134.54+22581.78+235.7+5738.74+91.06+11453.73</f>
        <v>129814.12999999999</v>
      </c>
      <c r="S90" s="41">
        <f>11569.37+23207.62+24284.16+19115.91+224.52+15365.07+18396.96+28402.08</f>
        <v>140565.69</v>
      </c>
      <c r="T90" s="41">
        <f>32856.75+1408.39+19515.64+116.53+6868.41+62812.08+19940.76+37341.83+1481.58+42999.53+9233.68+5743.88+53.59+394.15+52365.61</f>
        <v>293132.40999999997</v>
      </c>
      <c r="U90" s="41">
        <f>110.18+
40161.09+
12263.1+13040.94+22208.23</f>
        <v>87783.54</v>
      </c>
    </row>
    <row r="91" spans="2:21" ht="39.75" customHeight="1" x14ac:dyDescent="0.2">
      <c r="B91" s="19"/>
      <c r="C91" s="16" t="s">
        <v>689</v>
      </c>
      <c r="D91" s="16">
        <v>2018</v>
      </c>
      <c r="E91" s="38" t="s">
        <v>69</v>
      </c>
      <c r="F91" s="7" t="s">
        <v>178</v>
      </c>
      <c r="G91" s="7" t="s">
        <v>179</v>
      </c>
      <c r="H91" s="7" t="s">
        <v>180</v>
      </c>
      <c r="I91" s="38" t="s">
        <v>181</v>
      </c>
      <c r="J91" s="17">
        <v>43451</v>
      </c>
      <c r="K91" s="41">
        <v>318.06</v>
      </c>
      <c r="L91" s="41">
        <v>415.53</v>
      </c>
      <c r="M91" s="41">
        <f>405.27</f>
        <v>405.27</v>
      </c>
      <c r="N91" s="41">
        <v>0</v>
      </c>
      <c r="O91" s="41">
        <f>415.53+461.7</f>
        <v>877.23</v>
      </c>
      <c r="P91" s="41">
        <v>369.36</v>
      </c>
      <c r="Q91" s="41">
        <v>318.06</v>
      </c>
      <c r="R91" s="41">
        <v>0</v>
      </c>
      <c r="S91" s="41">
        <v>51.3</v>
      </c>
      <c r="T91" s="41">
        <v>153.9</v>
      </c>
      <c r="U91" s="41">
        <v>51.3</v>
      </c>
    </row>
    <row r="92" spans="2:21" ht="39.75" customHeight="1" x14ac:dyDescent="0.2">
      <c r="B92" s="19"/>
      <c r="C92" s="16" t="s">
        <v>363</v>
      </c>
      <c r="D92" s="16">
        <v>2018</v>
      </c>
      <c r="E92" s="38" t="s">
        <v>69</v>
      </c>
      <c r="F92" s="7" t="s">
        <v>183</v>
      </c>
      <c r="G92" s="7" t="s">
        <v>184</v>
      </c>
      <c r="H92" s="7" t="s">
        <v>185</v>
      </c>
      <c r="I92" s="38" t="s">
        <v>186</v>
      </c>
      <c r="J92" s="17">
        <v>43451</v>
      </c>
      <c r="K92" s="41">
        <v>22</v>
      </c>
      <c r="L92" s="41">
        <v>396</v>
      </c>
      <c r="M92" s="41">
        <v>0</v>
      </c>
      <c r="N92" s="41">
        <v>52</v>
      </c>
      <c r="O92" s="41">
        <v>0</v>
      </c>
      <c r="P92" s="41">
        <v>60</v>
      </c>
      <c r="Q92" s="41">
        <v>22</v>
      </c>
      <c r="R92" s="41">
        <v>0</v>
      </c>
      <c r="S92" s="41">
        <v>172</v>
      </c>
      <c r="T92" s="41">
        <v>0</v>
      </c>
      <c r="U92" s="41">
        <v>0</v>
      </c>
    </row>
    <row r="93" spans="2:21" ht="55.5" customHeight="1" x14ac:dyDescent="0.2">
      <c r="B93" s="19"/>
      <c r="C93" s="16" t="s">
        <v>284</v>
      </c>
      <c r="D93" s="16">
        <v>2017</v>
      </c>
      <c r="E93" s="38"/>
      <c r="F93" s="7" t="s">
        <v>295</v>
      </c>
      <c r="G93" s="7" t="s">
        <v>261</v>
      </c>
      <c r="H93" s="7" t="s">
        <v>428</v>
      </c>
      <c r="I93" s="38"/>
      <c r="J93" s="17">
        <v>43336</v>
      </c>
      <c r="K93" s="41">
        <f>3171.84</f>
        <v>3171.84</v>
      </c>
      <c r="L93" s="41">
        <v>0</v>
      </c>
      <c r="M93" s="41">
        <f>9119.04</f>
        <v>9119.0400000000009</v>
      </c>
      <c r="N93" s="41">
        <f>10374.56</f>
        <v>10374.56</v>
      </c>
      <c r="O93" s="41">
        <f>13116.88</f>
        <v>13116.88</v>
      </c>
      <c r="P93" s="41">
        <v>0</v>
      </c>
      <c r="Q93" s="41">
        <f>10440.64+3194.2</f>
        <v>13634.84</v>
      </c>
      <c r="R93" s="41">
        <f>9284.24</f>
        <v>9284.24</v>
      </c>
      <c r="S93" s="41">
        <v>0</v>
      </c>
      <c r="T93" s="41">
        <f>594.72</f>
        <v>594.72</v>
      </c>
      <c r="U93" s="41">
        <v>0</v>
      </c>
    </row>
    <row r="94" spans="2:21" ht="55.5" customHeight="1" x14ac:dyDescent="0.2">
      <c r="B94" s="19"/>
      <c r="C94" s="16" t="s">
        <v>507</v>
      </c>
      <c r="D94" s="16">
        <v>2019</v>
      </c>
      <c r="E94" s="38"/>
      <c r="F94" s="7" t="s">
        <v>731</v>
      </c>
      <c r="G94" s="7" t="s">
        <v>620</v>
      </c>
      <c r="H94" s="7" t="s">
        <v>732</v>
      </c>
      <c r="I94" s="38"/>
      <c r="J94" s="23" t="s">
        <v>733</v>
      </c>
      <c r="K94" s="41">
        <v>274.8</v>
      </c>
      <c r="L94" s="41"/>
      <c r="M94" s="41"/>
      <c r="N94" s="41"/>
      <c r="O94" s="41"/>
      <c r="P94" s="41"/>
      <c r="Q94" s="41"/>
      <c r="R94" s="41">
        <v>0</v>
      </c>
      <c r="S94" s="41">
        <v>0</v>
      </c>
      <c r="T94" s="41">
        <v>0</v>
      </c>
      <c r="U94" s="41">
        <v>274.8</v>
      </c>
    </row>
    <row r="95" spans="2:21" ht="39.75" customHeight="1" x14ac:dyDescent="0.2">
      <c r="B95" s="43" t="s">
        <v>550</v>
      </c>
      <c r="C95" s="16" t="s">
        <v>549</v>
      </c>
      <c r="D95" s="16">
        <v>2018</v>
      </c>
      <c r="E95" s="38" t="s">
        <v>69</v>
      </c>
      <c r="F95" s="7" t="s">
        <v>197</v>
      </c>
      <c r="G95" s="7" t="s">
        <v>198</v>
      </c>
      <c r="H95" s="7" t="s">
        <v>199</v>
      </c>
      <c r="I95" s="38" t="s">
        <v>200</v>
      </c>
      <c r="J95" s="23" t="s">
        <v>329</v>
      </c>
      <c r="K95" s="41">
        <v>0</v>
      </c>
      <c r="L95" s="41">
        <v>7800</v>
      </c>
      <c r="M95" s="41">
        <v>0</v>
      </c>
      <c r="N95" s="41">
        <v>0</v>
      </c>
      <c r="O95" s="41">
        <v>0</v>
      </c>
      <c r="P95" s="41">
        <v>0</v>
      </c>
      <c r="Q95" s="41">
        <v>0</v>
      </c>
      <c r="R95" s="41">
        <v>0</v>
      </c>
      <c r="S95" s="41">
        <v>0</v>
      </c>
      <c r="T95" s="41">
        <v>0</v>
      </c>
      <c r="U95" s="41">
        <v>0</v>
      </c>
    </row>
    <row r="96" spans="2:21" ht="39.75" customHeight="1" x14ac:dyDescent="0.2">
      <c r="B96" s="43" t="s">
        <v>550</v>
      </c>
      <c r="C96" s="16" t="s">
        <v>507</v>
      </c>
      <c r="D96" s="16">
        <v>2018</v>
      </c>
      <c r="E96" s="38"/>
      <c r="F96" s="7" t="s">
        <v>509</v>
      </c>
      <c r="G96" s="7" t="s">
        <v>508</v>
      </c>
      <c r="H96" s="7" t="s">
        <v>510</v>
      </c>
      <c r="I96" s="38"/>
      <c r="J96" s="23" t="s">
        <v>329</v>
      </c>
      <c r="K96" s="41">
        <v>0</v>
      </c>
      <c r="L96" s="41">
        <v>0</v>
      </c>
      <c r="M96" s="41">
        <v>0</v>
      </c>
      <c r="N96" s="41">
        <v>255</v>
      </c>
      <c r="O96" s="41">
        <v>0</v>
      </c>
      <c r="P96" s="41">
        <v>0</v>
      </c>
      <c r="Q96" s="41">
        <v>0</v>
      </c>
      <c r="R96" s="41">
        <v>0</v>
      </c>
      <c r="S96" s="41">
        <v>0</v>
      </c>
      <c r="T96" s="41">
        <v>0</v>
      </c>
      <c r="U96" s="41">
        <v>0</v>
      </c>
    </row>
    <row r="97" spans="2:21" ht="39.75" customHeight="1" x14ac:dyDescent="0.2">
      <c r="B97" s="43" t="s">
        <v>550</v>
      </c>
      <c r="C97" s="16" t="s">
        <v>473</v>
      </c>
      <c r="D97" s="16">
        <v>2018</v>
      </c>
      <c r="E97" s="38"/>
      <c r="F97" s="7" t="s">
        <v>470</v>
      </c>
      <c r="G97" s="7" t="s">
        <v>471</v>
      </c>
      <c r="H97" s="7" t="s">
        <v>472</v>
      </c>
      <c r="I97" s="38"/>
      <c r="J97" s="23" t="s">
        <v>329</v>
      </c>
      <c r="K97" s="41">
        <v>0</v>
      </c>
      <c r="L97" s="41">
        <v>0</v>
      </c>
      <c r="M97" s="41">
        <v>195</v>
      </c>
      <c r="N97" s="41">
        <v>0</v>
      </c>
      <c r="O97" s="41">
        <v>0</v>
      </c>
      <c r="P97" s="41">
        <v>0</v>
      </c>
      <c r="Q97" s="41">
        <v>0</v>
      </c>
      <c r="R97" s="41">
        <v>0</v>
      </c>
      <c r="S97" s="41">
        <v>0</v>
      </c>
      <c r="T97" s="41">
        <v>0</v>
      </c>
      <c r="U97" s="41">
        <v>0</v>
      </c>
    </row>
    <row r="98" spans="2:21" ht="39.75" customHeight="1" x14ac:dyDescent="0.2">
      <c r="B98" s="43" t="s">
        <v>550</v>
      </c>
      <c r="C98" s="16" t="s">
        <v>503</v>
      </c>
      <c r="D98" s="16">
        <v>2018</v>
      </c>
      <c r="E98" s="38"/>
      <c r="F98" s="7" t="s">
        <v>504</v>
      </c>
      <c r="G98" s="7" t="s">
        <v>505</v>
      </c>
      <c r="H98" s="7" t="s">
        <v>506</v>
      </c>
      <c r="I98" s="38"/>
      <c r="J98" s="23" t="s">
        <v>329</v>
      </c>
      <c r="K98" s="41">
        <v>0</v>
      </c>
      <c r="L98" s="41">
        <v>0</v>
      </c>
      <c r="M98" s="41">
        <v>0</v>
      </c>
      <c r="N98" s="41">
        <v>1890</v>
      </c>
      <c r="O98" s="41">
        <v>0</v>
      </c>
      <c r="P98" s="41">
        <v>0</v>
      </c>
      <c r="Q98" s="41">
        <v>0</v>
      </c>
      <c r="R98" s="41">
        <v>0</v>
      </c>
      <c r="S98" s="41">
        <v>0</v>
      </c>
      <c r="T98" s="41">
        <v>0</v>
      </c>
      <c r="U98" s="41">
        <v>0</v>
      </c>
    </row>
    <row r="99" spans="2:21" ht="39.75" customHeight="1" x14ac:dyDescent="0.2">
      <c r="B99" s="43" t="s">
        <v>550</v>
      </c>
      <c r="C99" s="16" t="s">
        <v>474</v>
      </c>
      <c r="D99" s="16">
        <v>2018</v>
      </c>
      <c r="E99" s="38"/>
      <c r="F99" s="7" t="s">
        <v>475</v>
      </c>
      <c r="G99" s="7" t="s">
        <v>476</v>
      </c>
      <c r="H99" s="7" t="s">
        <v>477</v>
      </c>
      <c r="I99" s="38"/>
      <c r="J99" s="23" t="s">
        <v>329</v>
      </c>
      <c r="K99" s="41">
        <v>0</v>
      </c>
      <c r="L99" s="41">
        <v>0</v>
      </c>
      <c r="M99" s="41">
        <v>1284</v>
      </c>
      <c r="N99" s="41">
        <v>0</v>
      </c>
      <c r="O99" s="41">
        <v>0</v>
      </c>
      <c r="P99" s="41">
        <v>0</v>
      </c>
      <c r="Q99" s="41">
        <v>0</v>
      </c>
      <c r="R99" s="41">
        <v>0</v>
      </c>
      <c r="S99" s="41">
        <v>0</v>
      </c>
      <c r="T99" s="41">
        <v>0</v>
      </c>
      <c r="U99" s="41">
        <v>0</v>
      </c>
    </row>
    <row r="100" spans="2:21" ht="39.75" customHeight="1" x14ac:dyDescent="0.2">
      <c r="B100" s="43" t="s">
        <v>550</v>
      </c>
      <c r="C100" s="16" t="s">
        <v>495</v>
      </c>
      <c r="D100" s="16">
        <v>2018</v>
      </c>
      <c r="E100" s="38"/>
      <c r="F100" s="7" t="s">
        <v>496</v>
      </c>
      <c r="G100" s="7" t="s">
        <v>497</v>
      </c>
      <c r="H100" s="7" t="s">
        <v>498</v>
      </c>
      <c r="I100" s="38"/>
      <c r="J100" s="23" t="s">
        <v>329</v>
      </c>
      <c r="K100" s="41">
        <v>0</v>
      </c>
      <c r="L100" s="41">
        <v>0</v>
      </c>
      <c r="M100" s="41">
        <v>1400</v>
      </c>
      <c r="N100" s="41">
        <v>0</v>
      </c>
      <c r="O100" s="41">
        <v>0</v>
      </c>
      <c r="P100" s="41">
        <v>0</v>
      </c>
      <c r="Q100" s="41">
        <v>0</v>
      </c>
      <c r="R100" s="41">
        <v>0</v>
      </c>
      <c r="S100" s="41">
        <v>0</v>
      </c>
      <c r="T100" s="41">
        <v>0</v>
      </c>
      <c r="U100" s="41">
        <v>0</v>
      </c>
    </row>
    <row r="101" spans="2:21" ht="39.75" customHeight="1" x14ac:dyDescent="0.2">
      <c r="B101" s="43" t="s">
        <v>550</v>
      </c>
      <c r="C101" s="16" t="s">
        <v>482</v>
      </c>
      <c r="D101" s="16">
        <v>2018</v>
      </c>
      <c r="E101" s="38"/>
      <c r="F101" s="7" t="s">
        <v>483</v>
      </c>
      <c r="G101" s="7" t="s">
        <v>484</v>
      </c>
      <c r="H101" s="7" t="s">
        <v>485</v>
      </c>
      <c r="I101" s="38"/>
      <c r="J101" s="23" t="s">
        <v>329</v>
      </c>
      <c r="K101" s="41">
        <v>0</v>
      </c>
      <c r="L101" s="41">
        <v>0</v>
      </c>
      <c r="M101" s="41">
        <v>1050</v>
      </c>
      <c r="N101" s="41">
        <v>0</v>
      </c>
      <c r="O101" s="41">
        <v>0</v>
      </c>
      <c r="P101" s="41">
        <v>0</v>
      </c>
      <c r="Q101" s="41">
        <v>0</v>
      </c>
      <c r="R101" s="41">
        <v>0</v>
      </c>
      <c r="S101" s="41">
        <v>0</v>
      </c>
      <c r="T101" s="41">
        <v>0</v>
      </c>
      <c r="U101" s="41">
        <v>0</v>
      </c>
    </row>
    <row r="102" spans="2:21" ht="39.75" customHeight="1" x14ac:dyDescent="0.2">
      <c r="B102" s="43" t="s">
        <v>550</v>
      </c>
      <c r="C102" s="16" t="s">
        <v>489</v>
      </c>
      <c r="D102" s="16">
        <v>2018</v>
      </c>
      <c r="E102" s="38"/>
      <c r="F102" s="7" t="s">
        <v>490</v>
      </c>
      <c r="G102" s="7" t="s">
        <v>491</v>
      </c>
      <c r="H102" s="7" t="s">
        <v>492</v>
      </c>
      <c r="I102" s="38"/>
      <c r="J102" s="23" t="s">
        <v>329</v>
      </c>
      <c r="K102" s="41">
        <v>0</v>
      </c>
      <c r="L102" s="41">
        <v>0</v>
      </c>
      <c r="M102" s="41">
        <v>1095.42</v>
      </c>
      <c r="N102" s="41">
        <v>0</v>
      </c>
      <c r="O102" s="41">
        <v>0</v>
      </c>
      <c r="P102" s="41">
        <v>0</v>
      </c>
      <c r="Q102" s="41">
        <v>0</v>
      </c>
      <c r="R102" s="41">
        <v>0</v>
      </c>
      <c r="S102" s="41">
        <v>0</v>
      </c>
      <c r="T102" s="41">
        <v>0</v>
      </c>
      <c r="U102" s="41">
        <v>0</v>
      </c>
    </row>
    <row r="103" spans="2:21" ht="39.75" customHeight="1" x14ac:dyDescent="0.2">
      <c r="B103" s="43" t="s">
        <v>550</v>
      </c>
      <c r="C103" s="16" t="s">
        <v>489</v>
      </c>
      <c r="D103" s="16">
        <v>2018</v>
      </c>
      <c r="E103" s="38"/>
      <c r="F103" s="7" t="s">
        <v>511</v>
      </c>
      <c r="G103" s="7" t="s">
        <v>512</v>
      </c>
      <c r="H103" s="7" t="s">
        <v>492</v>
      </c>
      <c r="I103" s="38"/>
      <c r="J103" s="23" t="s">
        <v>329</v>
      </c>
      <c r="K103" s="41">
        <v>0</v>
      </c>
      <c r="L103" s="41">
        <v>0</v>
      </c>
      <c r="M103" s="41">
        <v>0</v>
      </c>
      <c r="N103" s="41">
        <v>57</v>
      </c>
      <c r="O103" s="41">
        <v>0</v>
      </c>
      <c r="P103" s="41">
        <v>0</v>
      </c>
      <c r="Q103" s="41">
        <v>0</v>
      </c>
      <c r="R103" s="41">
        <v>0</v>
      </c>
      <c r="S103" s="41">
        <v>0</v>
      </c>
      <c r="T103" s="41">
        <v>0</v>
      </c>
      <c r="U103" s="41">
        <v>0</v>
      </c>
    </row>
    <row r="104" spans="2:21" ht="39.75" customHeight="1" x14ac:dyDescent="0.2">
      <c r="B104" s="43" t="s">
        <v>550</v>
      </c>
      <c r="C104" s="16" t="s">
        <v>489</v>
      </c>
      <c r="D104" s="16">
        <v>2018</v>
      </c>
      <c r="E104" s="38"/>
      <c r="F104" s="7" t="s">
        <v>535</v>
      </c>
      <c r="G104" s="7" t="s">
        <v>536</v>
      </c>
      <c r="H104" s="7" t="s">
        <v>492</v>
      </c>
      <c r="I104" s="38"/>
      <c r="J104" s="23" t="s">
        <v>329</v>
      </c>
      <c r="K104" s="41">
        <v>0</v>
      </c>
      <c r="L104" s="41">
        <v>0</v>
      </c>
      <c r="M104" s="41">
        <v>0</v>
      </c>
      <c r="N104" s="41">
        <v>0</v>
      </c>
      <c r="O104" s="41">
        <v>508.9</v>
      </c>
      <c r="P104" s="41">
        <v>0</v>
      </c>
      <c r="Q104" s="41">
        <v>0</v>
      </c>
      <c r="R104" s="41">
        <v>0</v>
      </c>
      <c r="S104" s="41">
        <v>0</v>
      </c>
      <c r="T104" s="41">
        <v>0</v>
      </c>
      <c r="U104" s="41">
        <v>0</v>
      </c>
    </row>
    <row r="105" spans="2:21" ht="39.75" customHeight="1" x14ac:dyDescent="0.2">
      <c r="B105" s="43" t="s">
        <v>550</v>
      </c>
      <c r="C105" s="16" t="s">
        <v>489</v>
      </c>
      <c r="D105" s="16">
        <v>2018</v>
      </c>
      <c r="E105" s="38"/>
      <c r="F105" s="7" t="s">
        <v>493</v>
      </c>
      <c r="G105" s="7" t="s">
        <v>494</v>
      </c>
      <c r="H105" s="7" t="s">
        <v>492</v>
      </c>
      <c r="I105" s="38"/>
      <c r="J105" s="23" t="s">
        <v>329</v>
      </c>
      <c r="K105" s="41">
        <v>0</v>
      </c>
      <c r="L105" s="41">
        <v>0</v>
      </c>
      <c r="M105" s="41">
        <v>107</v>
      </c>
      <c r="N105" s="41">
        <v>0</v>
      </c>
      <c r="O105" s="41">
        <v>0</v>
      </c>
      <c r="P105" s="41">
        <v>0</v>
      </c>
      <c r="Q105" s="41">
        <v>0</v>
      </c>
      <c r="R105" s="41">
        <v>0</v>
      </c>
      <c r="S105" s="41">
        <v>0</v>
      </c>
      <c r="T105" s="41">
        <v>0</v>
      </c>
      <c r="U105" s="41">
        <v>0</v>
      </c>
    </row>
    <row r="106" spans="2:21" ht="39.75" customHeight="1" x14ac:dyDescent="0.2">
      <c r="B106" s="43" t="s">
        <v>550</v>
      </c>
      <c r="C106" s="16" t="s">
        <v>478</v>
      </c>
      <c r="D106" s="16">
        <v>2018</v>
      </c>
      <c r="E106" s="38"/>
      <c r="F106" s="7" t="s">
        <v>479</v>
      </c>
      <c r="G106" s="7" t="s">
        <v>480</v>
      </c>
      <c r="H106" s="7" t="s">
        <v>481</v>
      </c>
      <c r="I106" s="38"/>
      <c r="J106" s="23" t="s">
        <v>329</v>
      </c>
      <c r="K106" s="41">
        <v>0</v>
      </c>
      <c r="L106" s="41">
        <v>0</v>
      </c>
      <c r="M106" s="41">
        <v>7344</v>
      </c>
      <c r="N106" s="41">
        <v>0</v>
      </c>
      <c r="O106" s="41">
        <v>0</v>
      </c>
      <c r="P106" s="41">
        <v>0</v>
      </c>
      <c r="Q106" s="41">
        <v>0</v>
      </c>
      <c r="R106" s="41">
        <v>0</v>
      </c>
      <c r="S106" s="41">
        <v>0</v>
      </c>
      <c r="T106" s="41">
        <v>0</v>
      </c>
      <c r="U106" s="41">
        <v>0</v>
      </c>
    </row>
    <row r="107" spans="2:21" ht="39.75" customHeight="1" x14ac:dyDescent="0.2">
      <c r="B107" s="43" t="s">
        <v>550</v>
      </c>
      <c r="C107" s="16" t="s">
        <v>499</v>
      </c>
      <c r="D107" s="16">
        <v>2018</v>
      </c>
      <c r="E107" s="38"/>
      <c r="F107" s="7" t="s">
        <v>500</v>
      </c>
      <c r="G107" s="7" t="s">
        <v>501</v>
      </c>
      <c r="H107" s="7" t="s">
        <v>502</v>
      </c>
      <c r="I107" s="38"/>
      <c r="J107" s="23" t="s">
        <v>329</v>
      </c>
      <c r="K107" s="41">
        <v>0</v>
      </c>
      <c r="L107" s="41">
        <v>0</v>
      </c>
      <c r="M107" s="41">
        <v>0</v>
      </c>
      <c r="N107" s="41">
        <v>7839</v>
      </c>
      <c r="O107" s="41">
        <v>0</v>
      </c>
      <c r="P107" s="41">
        <v>0</v>
      </c>
      <c r="Q107" s="41">
        <v>0</v>
      </c>
      <c r="R107" s="41">
        <v>0</v>
      </c>
      <c r="S107" s="41">
        <v>0</v>
      </c>
      <c r="T107" s="41">
        <v>0</v>
      </c>
      <c r="U107" s="41">
        <v>0</v>
      </c>
    </row>
    <row r="108" spans="2:21" ht="39.75" customHeight="1" x14ac:dyDescent="0.2">
      <c r="B108" s="43" t="s">
        <v>550</v>
      </c>
      <c r="C108" s="16" t="s">
        <v>513</v>
      </c>
      <c r="D108" s="16">
        <v>2018</v>
      </c>
      <c r="E108" s="38"/>
      <c r="F108" s="7" t="s">
        <v>514</v>
      </c>
      <c r="G108" s="7" t="s">
        <v>515</v>
      </c>
      <c r="H108" s="7" t="s">
        <v>516</v>
      </c>
      <c r="I108" s="38"/>
      <c r="J108" s="23" t="s">
        <v>329</v>
      </c>
      <c r="K108" s="41">
        <v>0</v>
      </c>
      <c r="L108" s="41">
        <v>0</v>
      </c>
      <c r="M108" s="41">
        <v>0</v>
      </c>
      <c r="N108" s="41">
        <v>0</v>
      </c>
      <c r="O108" s="41">
        <v>7920</v>
      </c>
      <c r="P108" s="41">
        <v>0</v>
      </c>
      <c r="Q108" s="41">
        <v>0</v>
      </c>
      <c r="R108" s="41">
        <v>0</v>
      </c>
      <c r="S108" s="41">
        <v>0</v>
      </c>
      <c r="T108" s="41">
        <v>0</v>
      </c>
      <c r="U108" s="41">
        <v>0</v>
      </c>
    </row>
    <row r="109" spans="2:21" ht="39.75" customHeight="1" x14ac:dyDescent="0.2">
      <c r="B109" s="43" t="s">
        <v>550</v>
      </c>
      <c r="C109" s="16" t="s">
        <v>521</v>
      </c>
      <c r="D109" s="16">
        <v>2018</v>
      </c>
      <c r="E109" s="38"/>
      <c r="F109" s="46" t="s">
        <v>522</v>
      </c>
      <c r="G109" s="7" t="s">
        <v>527</v>
      </c>
      <c r="H109" s="7" t="s">
        <v>532</v>
      </c>
      <c r="I109" s="38"/>
      <c r="J109" s="23" t="s">
        <v>329</v>
      </c>
      <c r="K109" s="41">
        <v>0</v>
      </c>
      <c r="L109" s="41">
        <v>0</v>
      </c>
      <c r="M109" s="41">
        <v>0</v>
      </c>
      <c r="N109" s="41">
        <v>0</v>
      </c>
      <c r="O109" s="41">
        <v>1405.27</v>
      </c>
      <c r="P109" s="41">
        <v>0</v>
      </c>
      <c r="Q109" s="41">
        <v>0</v>
      </c>
      <c r="R109" s="41">
        <v>0</v>
      </c>
      <c r="S109" s="41">
        <v>0</v>
      </c>
      <c r="T109" s="41">
        <v>0</v>
      </c>
      <c r="U109" s="41">
        <v>0</v>
      </c>
    </row>
    <row r="110" spans="2:21" ht="39.75" customHeight="1" x14ac:dyDescent="0.2">
      <c r="B110" s="43" t="s">
        <v>550</v>
      </c>
      <c r="C110" s="16" t="s">
        <v>521</v>
      </c>
      <c r="D110" s="16">
        <v>2018</v>
      </c>
      <c r="E110" s="38"/>
      <c r="F110" s="47" t="s">
        <v>523</v>
      </c>
      <c r="G110" s="7" t="s">
        <v>528</v>
      </c>
      <c r="H110" s="7" t="s">
        <v>532</v>
      </c>
      <c r="I110" s="38"/>
      <c r="J110" s="23" t="s">
        <v>329</v>
      </c>
      <c r="K110" s="41">
        <v>0</v>
      </c>
      <c r="L110" s="41">
        <v>0</v>
      </c>
      <c r="M110" s="41">
        <v>0</v>
      </c>
      <c r="N110" s="41">
        <v>0</v>
      </c>
      <c r="O110" s="41">
        <v>72</v>
      </c>
      <c r="P110" s="41">
        <v>0</v>
      </c>
      <c r="Q110" s="41">
        <v>0</v>
      </c>
      <c r="R110" s="41">
        <v>0</v>
      </c>
      <c r="S110" s="41">
        <v>0</v>
      </c>
      <c r="T110" s="41">
        <v>0</v>
      </c>
      <c r="U110" s="41">
        <v>0</v>
      </c>
    </row>
    <row r="111" spans="2:21" ht="39.75" customHeight="1" x14ac:dyDescent="0.2">
      <c r="B111" s="43" t="s">
        <v>550</v>
      </c>
      <c r="C111" s="16" t="s">
        <v>521</v>
      </c>
      <c r="D111" s="16">
        <v>2018</v>
      </c>
      <c r="E111" s="38"/>
      <c r="F111" s="46" t="s">
        <v>524</v>
      </c>
      <c r="G111" s="7" t="s">
        <v>529</v>
      </c>
      <c r="H111" s="7" t="s">
        <v>532</v>
      </c>
      <c r="I111" s="38"/>
      <c r="J111" s="23" t="s">
        <v>329</v>
      </c>
      <c r="K111" s="41">
        <v>0</v>
      </c>
      <c r="L111" s="41">
        <v>0</v>
      </c>
      <c r="M111" s="41">
        <v>0</v>
      </c>
      <c r="N111" s="41">
        <v>0</v>
      </c>
      <c r="O111" s="41">
        <v>184.2</v>
      </c>
      <c r="P111" s="41">
        <v>0</v>
      </c>
      <c r="Q111" s="41">
        <v>0</v>
      </c>
      <c r="R111" s="41">
        <v>0</v>
      </c>
      <c r="S111" s="41">
        <v>0</v>
      </c>
      <c r="T111" s="41">
        <v>0</v>
      </c>
      <c r="U111" s="41">
        <v>0</v>
      </c>
    </row>
    <row r="112" spans="2:21" ht="39.75" customHeight="1" x14ac:dyDescent="0.2">
      <c r="B112" s="43" t="s">
        <v>550</v>
      </c>
      <c r="C112" s="16" t="s">
        <v>521</v>
      </c>
      <c r="D112" s="16">
        <v>2018</v>
      </c>
      <c r="E112" s="38"/>
      <c r="F112" s="48" t="s">
        <v>525</v>
      </c>
      <c r="G112" s="7" t="s">
        <v>530</v>
      </c>
      <c r="H112" s="7" t="s">
        <v>532</v>
      </c>
      <c r="I112" s="38"/>
      <c r="J112" s="23" t="s">
        <v>329</v>
      </c>
      <c r="K112" s="41">
        <v>0</v>
      </c>
      <c r="L112" s="41">
        <v>0</v>
      </c>
      <c r="M112" s="41">
        <v>0</v>
      </c>
      <c r="N112" s="41">
        <v>0</v>
      </c>
      <c r="O112" s="41">
        <v>287</v>
      </c>
      <c r="P112" s="41">
        <v>0</v>
      </c>
      <c r="Q112" s="41">
        <v>0</v>
      </c>
      <c r="R112" s="41">
        <v>0</v>
      </c>
      <c r="S112" s="41">
        <v>0</v>
      </c>
      <c r="T112" s="41">
        <v>0</v>
      </c>
      <c r="U112" s="41">
        <v>0</v>
      </c>
    </row>
    <row r="113" spans="2:21" ht="39.75" customHeight="1" x14ac:dyDescent="0.2">
      <c r="B113" s="43" t="s">
        <v>550</v>
      </c>
      <c r="C113" s="16" t="s">
        <v>521</v>
      </c>
      <c r="D113" s="16">
        <v>2018</v>
      </c>
      <c r="E113" s="38"/>
      <c r="F113" s="48" t="s">
        <v>533</v>
      </c>
      <c r="G113" s="7" t="s">
        <v>534</v>
      </c>
      <c r="H113" s="7" t="s">
        <v>532</v>
      </c>
      <c r="I113" s="38"/>
      <c r="J113" s="23" t="s">
        <v>329</v>
      </c>
      <c r="K113" s="41">
        <v>0</v>
      </c>
      <c r="L113" s="41">
        <v>0</v>
      </c>
      <c r="M113" s="41">
        <v>0</v>
      </c>
      <c r="N113" s="41">
        <v>0</v>
      </c>
      <c r="O113" s="41">
        <v>1517</v>
      </c>
      <c r="P113" s="41">
        <v>0</v>
      </c>
      <c r="Q113" s="41">
        <v>0</v>
      </c>
      <c r="R113" s="41">
        <v>0</v>
      </c>
      <c r="S113" s="41">
        <v>0</v>
      </c>
      <c r="T113" s="41">
        <v>0</v>
      </c>
      <c r="U113" s="41">
        <v>0</v>
      </c>
    </row>
    <row r="114" spans="2:21" ht="39.75" customHeight="1" x14ac:dyDescent="0.2">
      <c r="B114" s="43" t="s">
        <v>550</v>
      </c>
      <c r="C114" s="16" t="s">
        <v>521</v>
      </c>
      <c r="D114" s="16">
        <v>2018</v>
      </c>
      <c r="E114" s="38"/>
      <c r="F114" s="46" t="s">
        <v>526</v>
      </c>
      <c r="G114" s="7" t="s">
        <v>531</v>
      </c>
      <c r="H114" s="7" t="s">
        <v>532</v>
      </c>
      <c r="I114" s="38"/>
      <c r="J114" s="23" t="s">
        <v>329</v>
      </c>
      <c r="K114" s="41">
        <v>0</v>
      </c>
      <c r="L114" s="41">
        <v>0</v>
      </c>
      <c r="M114" s="41">
        <v>0</v>
      </c>
      <c r="N114" s="41">
        <v>0</v>
      </c>
      <c r="O114" s="41">
        <v>1574.5</v>
      </c>
      <c r="P114" s="41">
        <v>0</v>
      </c>
      <c r="Q114" s="41">
        <v>0</v>
      </c>
      <c r="R114" s="41">
        <v>0</v>
      </c>
      <c r="S114" s="41">
        <v>0</v>
      </c>
      <c r="T114" s="41">
        <v>0</v>
      </c>
      <c r="U114" s="41">
        <v>0</v>
      </c>
    </row>
    <row r="115" spans="2:21" ht="39.75" customHeight="1" x14ac:dyDescent="0.2">
      <c r="B115" s="43" t="s">
        <v>550</v>
      </c>
      <c r="C115" s="16" t="s">
        <v>537</v>
      </c>
      <c r="D115" s="16">
        <v>2018</v>
      </c>
      <c r="E115" s="38"/>
      <c r="F115" s="46" t="s">
        <v>538</v>
      </c>
      <c r="G115" s="7" t="s">
        <v>539</v>
      </c>
      <c r="H115" s="7" t="s">
        <v>540</v>
      </c>
      <c r="I115" s="38"/>
      <c r="J115" s="23" t="s">
        <v>329</v>
      </c>
      <c r="K115" s="41">
        <v>0</v>
      </c>
      <c r="L115" s="41">
        <v>0</v>
      </c>
      <c r="M115" s="41">
        <v>0</v>
      </c>
      <c r="N115" s="41">
        <v>0</v>
      </c>
      <c r="O115" s="41">
        <v>720</v>
      </c>
      <c r="P115" s="41">
        <v>0</v>
      </c>
      <c r="Q115" s="41">
        <v>0</v>
      </c>
      <c r="R115" s="41">
        <v>0</v>
      </c>
      <c r="S115" s="41">
        <v>0</v>
      </c>
      <c r="T115" s="41">
        <v>0</v>
      </c>
      <c r="U115" s="41">
        <v>0</v>
      </c>
    </row>
    <row r="116" spans="2:21" ht="39.75" customHeight="1" x14ac:dyDescent="0.2">
      <c r="B116" s="19"/>
      <c r="C116" s="16" t="s">
        <v>517</v>
      </c>
      <c r="D116" s="16">
        <v>2018</v>
      </c>
      <c r="E116" s="38"/>
      <c r="F116" s="7" t="s">
        <v>518</v>
      </c>
      <c r="G116" s="7" t="s">
        <v>519</v>
      </c>
      <c r="H116" s="7" t="s">
        <v>520</v>
      </c>
      <c r="I116" s="38"/>
      <c r="J116" s="23" t="s">
        <v>329</v>
      </c>
      <c r="K116" s="41">
        <v>0</v>
      </c>
      <c r="L116" s="41">
        <v>0</v>
      </c>
      <c r="M116" s="41">
        <v>0</v>
      </c>
      <c r="N116" s="41">
        <v>0</v>
      </c>
      <c r="O116" s="41">
        <v>328.22</v>
      </c>
      <c r="P116" s="41">
        <f>802.22</f>
        <v>802.22</v>
      </c>
      <c r="Q116" s="41">
        <f>132.54+466.05</f>
        <v>598.59</v>
      </c>
      <c r="R116" s="41">
        <v>515.72</v>
      </c>
      <c r="S116" s="41">
        <v>1410.49</v>
      </c>
      <c r="T116" s="41">
        <v>0</v>
      </c>
      <c r="U116" s="41">
        <v>0</v>
      </c>
    </row>
    <row r="117" spans="2:21" ht="39.75" customHeight="1" x14ac:dyDescent="0.2">
      <c r="B117" s="19"/>
      <c r="C117" s="16" t="s">
        <v>701</v>
      </c>
      <c r="D117" s="16">
        <v>2018</v>
      </c>
      <c r="E117" s="38"/>
      <c r="F117" s="7" t="s">
        <v>702</v>
      </c>
      <c r="G117" s="7" t="s">
        <v>703</v>
      </c>
      <c r="H117" s="7" t="s">
        <v>704</v>
      </c>
      <c r="I117" s="38"/>
      <c r="J117" s="23" t="s">
        <v>329</v>
      </c>
      <c r="K117" s="41"/>
      <c r="L117" s="41"/>
      <c r="M117" s="41"/>
      <c r="N117" s="41"/>
      <c r="O117" s="41"/>
      <c r="P117" s="41">
        <v>0</v>
      </c>
      <c r="Q117" s="41">
        <v>0</v>
      </c>
      <c r="R117" s="41">
        <v>0</v>
      </c>
      <c r="S117" s="41">
        <v>468.65</v>
      </c>
      <c r="T117" s="41">
        <f>468.65</f>
        <v>468.65</v>
      </c>
      <c r="U117" s="41">
        <v>0</v>
      </c>
    </row>
    <row r="118" spans="2:21" ht="39.75" customHeight="1" x14ac:dyDescent="0.2">
      <c r="B118" s="43" t="s">
        <v>550</v>
      </c>
      <c r="C118" s="16" t="s">
        <v>611</v>
      </c>
      <c r="D118" s="16">
        <v>2018</v>
      </c>
      <c r="E118" s="38"/>
      <c r="F118" s="7" t="s">
        <v>612</v>
      </c>
      <c r="G118" s="7" t="s">
        <v>613</v>
      </c>
      <c r="H118" s="7" t="s">
        <v>614</v>
      </c>
      <c r="I118" s="38"/>
      <c r="J118" s="23" t="s">
        <v>329</v>
      </c>
      <c r="K118" s="41"/>
      <c r="L118" s="41"/>
      <c r="M118" s="41"/>
      <c r="N118" s="41"/>
      <c r="O118" s="42" t="s">
        <v>245</v>
      </c>
      <c r="P118" s="42">
        <v>0</v>
      </c>
      <c r="Q118" s="42">
        <v>0</v>
      </c>
      <c r="R118" s="41">
        <v>1238.92</v>
      </c>
      <c r="S118" s="41">
        <v>0</v>
      </c>
      <c r="T118" s="41">
        <v>0</v>
      </c>
      <c r="U118" s="41">
        <v>0</v>
      </c>
    </row>
    <row r="119" spans="2:21" ht="39.75" customHeight="1" x14ac:dyDescent="0.2">
      <c r="B119" s="43" t="s">
        <v>550</v>
      </c>
      <c r="C119" s="16" t="s">
        <v>541</v>
      </c>
      <c r="D119" s="16">
        <v>2018</v>
      </c>
      <c r="E119" s="38"/>
      <c r="F119" s="7" t="s">
        <v>542</v>
      </c>
      <c r="G119" s="7" t="s">
        <v>543</v>
      </c>
      <c r="H119" s="7" t="s">
        <v>544</v>
      </c>
      <c r="I119" s="38"/>
      <c r="J119" s="23" t="s">
        <v>329</v>
      </c>
      <c r="K119" s="41">
        <v>0</v>
      </c>
      <c r="L119" s="41">
        <v>0</v>
      </c>
      <c r="M119" s="41">
        <v>0</v>
      </c>
      <c r="N119" s="41">
        <v>0</v>
      </c>
      <c r="O119" s="41">
        <v>41.09</v>
      </c>
      <c r="P119" s="41">
        <v>0</v>
      </c>
      <c r="Q119" s="41">
        <v>0</v>
      </c>
      <c r="R119" s="41">
        <v>0</v>
      </c>
      <c r="S119" s="41">
        <v>0</v>
      </c>
      <c r="T119" s="41">
        <v>0</v>
      </c>
      <c r="U119" s="41">
        <v>0</v>
      </c>
    </row>
    <row r="120" spans="2:21" ht="39.75" customHeight="1" x14ac:dyDescent="0.2">
      <c r="B120" s="43" t="s">
        <v>550</v>
      </c>
      <c r="C120" s="16" t="s">
        <v>545</v>
      </c>
      <c r="D120" s="16">
        <v>2018</v>
      </c>
      <c r="E120" s="38"/>
      <c r="F120" s="7" t="s">
        <v>546</v>
      </c>
      <c r="G120" s="7" t="s">
        <v>547</v>
      </c>
      <c r="H120" s="7" t="s">
        <v>548</v>
      </c>
      <c r="I120" s="38"/>
      <c r="J120" s="23" t="s">
        <v>329</v>
      </c>
      <c r="K120" s="41">
        <v>0</v>
      </c>
      <c r="L120" s="41">
        <v>0</v>
      </c>
      <c r="M120" s="41">
        <v>0</v>
      </c>
      <c r="N120" s="41">
        <v>0</v>
      </c>
      <c r="O120" s="41">
        <v>312</v>
      </c>
      <c r="P120" s="41">
        <v>0</v>
      </c>
      <c r="Q120" s="41">
        <v>0</v>
      </c>
      <c r="R120" s="41">
        <v>0</v>
      </c>
      <c r="S120" s="41">
        <v>0</v>
      </c>
      <c r="T120" s="41">
        <v>0</v>
      </c>
      <c r="U120" s="41">
        <v>0</v>
      </c>
    </row>
    <row r="121" spans="2:21" ht="39.75" customHeight="1" x14ac:dyDescent="0.2">
      <c r="B121" s="43" t="s">
        <v>550</v>
      </c>
      <c r="C121" s="16" t="s">
        <v>623</v>
      </c>
      <c r="D121" s="16">
        <v>2018</v>
      </c>
      <c r="E121" s="38"/>
      <c r="F121" s="7" t="s">
        <v>624</v>
      </c>
      <c r="G121" s="7" t="s">
        <v>625</v>
      </c>
      <c r="H121" s="7" t="s">
        <v>626</v>
      </c>
      <c r="I121" s="38"/>
      <c r="J121" s="23" t="s">
        <v>329</v>
      </c>
      <c r="K121" s="41"/>
      <c r="L121" s="41"/>
      <c r="M121" s="41"/>
      <c r="N121" s="41"/>
      <c r="O121" s="42" t="s">
        <v>245</v>
      </c>
      <c r="P121" s="42">
        <v>0</v>
      </c>
      <c r="Q121" s="41">
        <v>2941</v>
      </c>
      <c r="R121" s="42">
        <v>0</v>
      </c>
      <c r="S121" s="41">
        <v>0</v>
      </c>
      <c r="T121" s="41">
        <v>0</v>
      </c>
      <c r="U121" s="41">
        <v>0</v>
      </c>
    </row>
    <row r="122" spans="2:21" ht="39.75" customHeight="1" x14ac:dyDescent="0.2">
      <c r="B122" s="19"/>
      <c r="C122" s="16" t="s">
        <v>578</v>
      </c>
      <c r="D122" s="16">
        <v>2018</v>
      </c>
      <c r="E122" s="38" t="s">
        <v>69</v>
      </c>
      <c r="F122" s="7" t="s">
        <v>201</v>
      </c>
      <c r="G122" s="7" t="s">
        <v>202</v>
      </c>
      <c r="H122" s="7" t="s">
        <v>416</v>
      </c>
      <c r="I122" s="38" t="s">
        <v>204</v>
      </c>
      <c r="J122" s="23" t="s">
        <v>329</v>
      </c>
      <c r="K122" s="41">
        <v>0</v>
      </c>
      <c r="L122" s="41">
        <v>600</v>
      </c>
      <c r="M122" s="41">
        <v>300</v>
      </c>
      <c r="N122" s="41">
        <v>300</v>
      </c>
      <c r="O122" s="41">
        <v>300</v>
      </c>
      <c r="P122" s="41">
        <v>300</v>
      </c>
      <c r="Q122" s="41">
        <v>0</v>
      </c>
      <c r="R122" s="41">
        <v>600</v>
      </c>
      <c r="S122" s="41">
        <v>0</v>
      </c>
      <c r="T122" s="41">
        <v>600</v>
      </c>
      <c r="U122" s="41">
        <v>300</v>
      </c>
    </row>
    <row r="123" spans="2:21" ht="39.75" customHeight="1" x14ac:dyDescent="0.2">
      <c r="B123" s="43" t="s">
        <v>550</v>
      </c>
      <c r="C123" s="16" t="s">
        <v>615</v>
      </c>
      <c r="D123" s="16">
        <v>2018</v>
      </c>
      <c r="E123" s="38"/>
      <c r="F123" s="7" t="s">
        <v>616</v>
      </c>
      <c r="G123" s="7" t="s">
        <v>617</v>
      </c>
      <c r="H123" s="7" t="s">
        <v>618</v>
      </c>
      <c r="I123" s="38"/>
      <c r="J123" s="23" t="s">
        <v>329</v>
      </c>
      <c r="K123" s="41"/>
      <c r="L123" s="41"/>
      <c r="M123" s="41"/>
      <c r="N123" s="41"/>
      <c r="O123" s="42" t="s">
        <v>245</v>
      </c>
      <c r="P123" s="41">
        <v>14148.75</v>
      </c>
      <c r="Q123" s="42">
        <v>0</v>
      </c>
      <c r="R123" s="42">
        <v>0</v>
      </c>
      <c r="S123" s="41">
        <v>0</v>
      </c>
      <c r="T123" s="41">
        <v>0</v>
      </c>
      <c r="U123" s="41">
        <v>0</v>
      </c>
    </row>
    <row r="124" spans="2:21" ht="39.75" customHeight="1" x14ac:dyDescent="0.2">
      <c r="B124" s="43" t="s">
        <v>550</v>
      </c>
      <c r="C124" s="16" t="s">
        <v>507</v>
      </c>
      <c r="D124" s="16">
        <v>2018</v>
      </c>
      <c r="E124" s="38"/>
      <c r="F124" s="7" t="s">
        <v>619</v>
      </c>
      <c r="G124" s="7" t="s">
        <v>620</v>
      </c>
      <c r="H124" s="7" t="s">
        <v>621</v>
      </c>
      <c r="I124" s="38"/>
      <c r="J124" s="23" t="s">
        <v>329</v>
      </c>
      <c r="K124" s="41"/>
      <c r="L124" s="41"/>
      <c r="M124" s="41"/>
      <c r="N124" s="41"/>
      <c r="O124" s="42" t="s">
        <v>245</v>
      </c>
      <c r="P124" s="41">
        <v>49.45</v>
      </c>
      <c r="Q124" s="42">
        <v>0</v>
      </c>
      <c r="R124" s="42">
        <v>0</v>
      </c>
      <c r="S124" s="41">
        <v>0</v>
      </c>
      <c r="T124" s="41">
        <v>0</v>
      </c>
      <c r="U124" s="41">
        <v>0</v>
      </c>
    </row>
    <row r="125" spans="2:21" ht="39.75" customHeight="1" x14ac:dyDescent="0.2">
      <c r="B125" s="43" t="s">
        <v>550</v>
      </c>
      <c r="C125" s="16" t="s">
        <v>507</v>
      </c>
      <c r="D125" s="16">
        <v>2018</v>
      </c>
      <c r="E125" s="38"/>
      <c r="F125" s="7" t="s">
        <v>619</v>
      </c>
      <c r="G125" s="7" t="s">
        <v>620</v>
      </c>
      <c r="H125" s="7" t="s">
        <v>622</v>
      </c>
      <c r="I125" s="38"/>
      <c r="J125" s="23" t="s">
        <v>329</v>
      </c>
      <c r="K125" s="41"/>
      <c r="L125" s="41"/>
      <c r="M125" s="41"/>
      <c r="N125" s="41"/>
      <c r="O125" s="42" t="s">
        <v>245</v>
      </c>
      <c r="P125" s="41">
        <v>49.45</v>
      </c>
      <c r="Q125" s="42">
        <v>0</v>
      </c>
      <c r="R125" s="42">
        <v>0</v>
      </c>
      <c r="S125" s="41">
        <v>0</v>
      </c>
      <c r="T125" s="41">
        <v>0</v>
      </c>
      <c r="U125" s="41">
        <v>0</v>
      </c>
    </row>
    <row r="126" spans="2:21" ht="39.75" customHeight="1" x14ac:dyDescent="0.2">
      <c r="B126" s="43" t="s">
        <v>550</v>
      </c>
      <c r="C126" s="16" t="s">
        <v>507</v>
      </c>
      <c r="D126" s="16">
        <v>2018</v>
      </c>
      <c r="E126" s="38"/>
      <c r="F126" s="7" t="s">
        <v>645</v>
      </c>
      <c r="G126" s="7" t="s">
        <v>508</v>
      </c>
      <c r="H126" s="7" t="s">
        <v>646</v>
      </c>
      <c r="I126" s="38"/>
      <c r="J126" s="23" t="s">
        <v>329</v>
      </c>
      <c r="K126" s="41"/>
      <c r="L126" s="41"/>
      <c r="M126" s="41"/>
      <c r="N126" s="41"/>
      <c r="O126" s="42" t="s">
        <v>245</v>
      </c>
      <c r="P126" s="42">
        <v>0</v>
      </c>
      <c r="Q126" s="42">
        <v>567.04999999999995</v>
      </c>
      <c r="R126" s="42">
        <v>0</v>
      </c>
      <c r="S126" s="41">
        <v>0</v>
      </c>
      <c r="T126" s="41">
        <v>0</v>
      </c>
      <c r="U126" s="41">
        <v>0</v>
      </c>
    </row>
    <row r="127" spans="2:21" ht="39.75" customHeight="1" x14ac:dyDescent="0.2">
      <c r="B127" s="43" t="s">
        <v>550</v>
      </c>
      <c r="C127" s="16" t="s">
        <v>507</v>
      </c>
      <c r="D127" s="16">
        <v>2018</v>
      </c>
      <c r="E127" s="38"/>
      <c r="F127" s="7" t="s">
        <v>645</v>
      </c>
      <c r="G127" s="7" t="s">
        <v>508</v>
      </c>
      <c r="H127" s="7" t="s">
        <v>649</v>
      </c>
      <c r="I127" s="38"/>
      <c r="J127" s="23" t="s">
        <v>329</v>
      </c>
      <c r="K127" s="41"/>
      <c r="L127" s="41"/>
      <c r="M127" s="41"/>
      <c r="N127" s="41"/>
      <c r="O127" s="42" t="s">
        <v>245</v>
      </c>
      <c r="P127" s="42">
        <v>0</v>
      </c>
      <c r="Q127" s="42">
        <v>0</v>
      </c>
      <c r="R127" s="42">
        <v>255</v>
      </c>
      <c r="S127" s="41">
        <v>0</v>
      </c>
      <c r="T127" s="41">
        <v>0</v>
      </c>
      <c r="U127" s="41">
        <v>0</v>
      </c>
    </row>
    <row r="128" spans="2:21" ht="39.75" customHeight="1" x14ac:dyDescent="0.2">
      <c r="B128" s="43" t="s">
        <v>550</v>
      </c>
      <c r="C128" s="16" t="s">
        <v>507</v>
      </c>
      <c r="D128" s="16">
        <v>2018</v>
      </c>
      <c r="E128" s="38"/>
      <c r="F128" s="7" t="s">
        <v>645</v>
      </c>
      <c r="G128" s="7" t="s">
        <v>508</v>
      </c>
      <c r="H128" s="7" t="s">
        <v>649</v>
      </c>
      <c r="I128" s="38"/>
      <c r="J128" s="23" t="s">
        <v>329</v>
      </c>
      <c r="K128" s="41"/>
      <c r="L128" s="41"/>
      <c r="M128" s="41"/>
      <c r="N128" s="41"/>
      <c r="O128" s="42" t="s">
        <v>245</v>
      </c>
      <c r="P128" s="42">
        <v>0</v>
      </c>
      <c r="Q128" s="42">
        <v>0</v>
      </c>
      <c r="R128" s="42">
        <v>85</v>
      </c>
      <c r="S128" s="41">
        <v>0</v>
      </c>
      <c r="T128" s="41">
        <v>0</v>
      </c>
      <c r="U128" s="41">
        <v>0</v>
      </c>
    </row>
    <row r="129" spans="2:21" ht="39.75" customHeight="1" x14ac:dyDescent="0.2">
      <c r="B129" s="43" t="s">
        <v>550</v>
      </c>
      <c r="C129" s="16" t="s">
        <v>507</v>
      </c>
      <c r="D129" s="16">
        <v>2018</v>
      </c>
      <c r="E129" s="38"/>
      <c r="F129" s="7" t="s">
        <v>647</v>
      </c>
      <c r="G129" s="7" t="s">
        <v>648</v>
      </c>
      <c r="H129" s="7" t="s">
        <v>646</v>
      </c>
      <c r="I129" s="38"/>
      <c r="J129" s="23" t="s">
        <v>329</v>
      </c>
      <c r="K129" s="41"/>
      <c r="L129" s="41"/>
      <c r="M129" s="41"/>
      <c r="N129" s="41"/>
      <c r="O129" s="42" t="s">
        <v>245</v>
      </c>
      <c r="P129" s="42">
        <v>0</v>
      </c>
      <c r="Q129" s="42">
        <v>206.42</v>
      </c>
      <c r="R129" s="42">
        <v>0</v>
      </c>
      <c r="S129" s="41">
        <v>0</v>
      </c>
      <c r="T129" s="41">
        <v>0</v>
      </c>
      <c r="U129" s="41">
        <v>0</v>
      </c>
    </row>
    <row r="130" spans="2:21" ht="39.75" customHeight="1" x14ac:dyDescent="0.2">
      <c r="B130" s="43"/>
      <c r="C130" s="16" t="s">
        <v>338</v>
      </c>
      <c r="D130" s="16">
        <v>2017</v>
      </c>
      <c r="E130" s="38" t="s">
        <v>69</v>
      </c>
      <c r="F130" s="7" t="s">
        <v>339</v>
      </c>
      <c r="G130" s="26" t="s">
        <v>341</v>
      </c>
      <c r="H130" s="7" t="s">
        <v>340</v>
      </c>
      <c r="I130" s="40" t="s">
        <v>241</v>
      </c>
      <c r="J130" s="17">
        <v>43845</v>
      </c>
      <c r="K130" s="41">
        <v>43224.800000000003</v>
      </c>
      <c r="L130" s="41">
        <v>43224.800000000003</v>
      </c>
      <c r="M130" s="41">
        <v>0</v>
      </c>
      <c r="N130" s="41">
        <f>32418.6+21612.4</f>
        <v>54031</v>
      </c>
      <c r="O130" s="41">
        <f>21612.4</f>
        <v>21612.400000000001</v>
      </c>
      <c r="P130" s="41">
        <v>21612.400000000001</v>
      </c>
      <c r="Q130" s="42">
        <v>0</v>
      </c>
      <c r="R130" s="42">
        <v>0</v>
      </c>
      <c r="S130" s="41">
        <f>21612.4+21612.4+21612.4</f>
        <v>64837.200000000004</v>
      </c>
      <c r="T130" s="41">
        <f>21612.4</f>
        <v>21612.400000000001</v>
      </c>
      <c r="U130" s="41">
        <f>36337.98</f>
        <v>36337.980000000003</v>
      </c>
    </row>
    <row r="131" spans="2:21" ht="39.75" customHeight="1" x14ac:dyDescent="0.2">
      <c r="B131" s="43" t="s">
        <v>550</v>
      </c>
      <c r="C131" s="16" t="s">
        <v>582</v>
      </c>
      <c r="D131" s="16">
        <v>2017</v>
      </c>
      <c r="E131" s="38"/>
      <c r="F131" s="7" t="s">
        <v>579</v>
      </c>
      <c r="G131" s="26" t="s">
        <v>580</v>
      </c>
      <c r="H131" s="7" t="s">
        <v>581</v>
      </c>
      <c r="I131" s="40"/>
      <c r="J131" s="23" t="s">
        <v>329</v>
      </c>
      <c r="K131" s="41"/>
      <c r="L131" s="41"/>
      <c r="M131" s="41"/>
      <c r="N131" s="41"/>
      <c r="O131" s="41">
        <v>0</v>
      </c>
      <c r="P131" s="41">
        <v>6750</v>
      </c>
      <c r="Q131" s="41">
        <v>0</v>
      </c>
      <c r="R131" s="41">
        <v>0</v>
      </c>
      <c r="S131" s="41">
        <v>0</v>
      </c>
      <c r="T131" s="41">
        <v>0</v>
      </c>
      <c r="U131" s="41">
        <v>0</v>
      </c>
    </row>
    <row r="132" spans="2:21" ht="39.75" customHeight="1" x14ac:dyDescent="0.2">
      <c r="B132" s="19"/>
      <c r="C132" s="16" t="s">
        <v>468</v>
      </c>
      <c r="D132" s="16">
        <v>2018</v>
      </c>
      <c r="E132" s="38"/>
      <c r="F132" s="7" t="s">
        <v>469</v>
      </c>
      <c r="G132" s="26" t="s">
        <v>207</v>
      </c>
      <c r="H132" s="7" t="s">
        <v>734</v>
      </c>
      <c r="I132" s="40"/>
      <c r="J132" s="23" t="s">
        <v>329</v>
      </c>
      <c r="K132" s="41">
        <v>0</v>
      </c>
      <c r="L132" s="41">
        <v>0</v>
      </c>
      <c r="M132" s="41">
        <f>1850+1520+1100</f>
        <v>4470</v>
      </c>
      <c r="N132" s="41">
        <v>920</v>
      </c>
      <c r="O132" s="41">
        <v>765</v>
      </c>
      <c r="P132" s="41">
        <v>405</v>
      </c>
      <c r="Q132" s="41">
        <v>0</v>
      </c>
      <c r="R132" s="41">
        <v>0</v>
      </c>
      <c r="S132" s="41">
        <v>0</v>
      </c>
      <c r="T132" s="41">
        <v>1110</v>
      </c>
      <c r="U132" s="41">
        <v>220</v>
      </c>
    </row>
    <row r="133" spans="2:21" ht="39.75" customHeight="1" x14ac:dyDescent="0.2">
      <c r="B133" s="43" t="s">
        <v>550</v>
      </c>
      <c r="C133" s="16">
        <v>2018</v>
      </c>
      <c r="D133" s="16">
        <v>2018</v>
      </c>
      <c r="E133" s="38"/>
      <c r="F133" s="7" t="s">
        <v>443</v>
      </c>
      <c r="G133" s="26" t="s">
        <v>302</v>
      </c>
      <c r="H133" s="7" t="s">
        <v>444</v>
      </c>
      <c r="I133" s="40" t="s">
        <v>445</v>
      </c>
      <c r="J133" s="17">
        <v>43407</v>
      </c>
      <c r="K133" s="41">
        <v>0</v>
      </c>
      <c r="L133" s="41">
        <v>0</v>
      </c>
      <c r="M133" s="41">
        <v>0</v>
      </c>
      <c r="N133" s="41">
        <v>0</v>
      </c>
      <c r="O133" s="41">
        <v>0</v>
      </c>
      <c r="P133" s="41">
        <v>0</v>
      </c>
      <c r="Q133" s="41">
        <v>0</v>
      </c>
      <c r="R133" s="41">
        <v>88520</v>
      </c>
      <c r="S133" s="41">
        <v>0</v>
      </c>
      <c r="T133" s="41">
        <v>0</v>
      </c>
      <c r="U133" s="41">
        <v>0</v>
      </c>
    </row>
    <row r="134" spans="2:21" ht="39.75" customHeight="1" x14ac:dyDescent="0.2">
      <c r="B134" s="43" t="s">
        <v>550</v>
      </c>
      <c r="C134" s="16" t="s">
        <v>446</v>
      </c>
      <c r="D134" s="16">
        <v>2018</v>
      </c>
      <c r="E134" s="38"/>
      <c r="F134" s="7" t="s">
        <v>447</v>
      </c>
      <c r="G134" s="26" t="s">
        <v>448</v>
      </c>
      <c r="H134" s="7" t="s">
        <v>449</v>
      </c>
      <c r="I134" s="40"/>
      <c r="J134" s="17">
        <v>43327</v>
      </c>
      <c r="K134" s="41">
        <v>0</v>
      </c>
      <c r="L134" s="41">
        <v>0</v>
      </c>
      <c r="M134" s="41">
        <v>0</v>
      </c>
      <c r="N134" s="41">
        <v>88000</v>
      </c>
      <c r="O134" s="41">
        <v>0</v>
      </c>
      <c r="P134" s="41">
        <v>0</v>
      </c>
      <c r="Q134" s="41">
        <v>0</v>
      </c>
      <c r="R134" s="41">
        <v>0</v>
      </c>
      <c r="S134" s="41">
        <v>0</v>
      </c>
      <c r="T134" s="41">
        <v>0</v>
      </c>
      <c r="U134" s="41">
        <v>0</v>
      </c>
    </row>
    <row r="135" spans="2:21" ht="39.75" customHeight="1" x14ac:dyDescent="0.2">
      <c r="B135" s="43" t="s">
        <v>550</v>
      </c>
      <c r="C135" s="16" t="s">
        <v>458</v>
      </c>
      <c r="D135" s="16">
        <v>2018</v>
      </c>
      <c r="E135" s="38"/>
      <c r="F135" s="7" t="s">
        <v>460</v>
      </c>
      <c r="G135" s="26" t="s">
        <v>462</v>
      </c>
      <c r="H135" s="7" t="s">
        <v>463</v>
      </c>
      <c r="I135" s="40"/>
      <c r="J135" s="17">
        <v>43282</v>
      </c>
      <c r="K135" s="41">
        <v>0</v>
      </c>
      <c r="L135" s="41">
        <v>0</v>
      </c>
      <c r="M135" s="41">
        <v>0</v>
      </c>
      <c r="N135" s="41">
        <f>475148.26</f>
        <v>475148.26</v>
      </c>
      <c r="O135" s="41">
        <v>0</v>
      </c>
      <c r="P135" s="41">
        <v>0</v>
      </c>
      <c r="Q135" s="41">
        <v>0</v>
      </c>
      <c r="R135" s="41">
        <v>0</v>
      </c>
      <c r="S135" s="41">
        <v>0</v>
      </c>
      <c r="T135" s="41">
        <v>0</v>
      </c>
      <c r="U135" s="41">
        <v>0</v>
      </c>
    </row>
    <row r="136" spans="2:21" ht="39.75" customHeight="1" x14ac:dyDescent="0.2">
      <c r="B136" s="43" t="s">
        <v>550</v>
      </c>
      <c r="C136" s="16" t="s">
        <v>459</v>
      </c>
      <c r="D136" s="16">
        <v>2018</v>
      </c>
      <c r="E136" s="38"/>
      <c r="F136" s="7" t="s">
        <v>461</v>
      </c>
      <c r="G136" s="26" t="s">
        <v>462</v>
      </c>
      <c r="H136" s="7" t="s">
        <v>464</v>
      </c>
      <c r="I136" s="40"/>
      <c r="J136" s="17">
        <v>43366</v>
      </c>
      <c r="K136" s="41">
        <v>0</v>
      </c>
      <c r="L136" s="41">
        <v>0</v>
      </c>
      <c r="M136" s="41">
        <v>0</v>
      </c>
      <c r="N136" s="41">
        <v>0</v>
      </c>
      <c r="O136" s="41">
        <v>48127.76</v>
      </c>
      <c r="P136" s="41">
        <v>0</v>
      </c>
      <c r="Q136" s="41">
        <v>0</v>
      </c>
      <c r="R136" s="41">
        <v>0</v>
      </c>
      <c r="S136" s="41">
        <v>0</v>
      </c>
      <c r="T136" s="41">
        <v>0</v>
      </c>
      <c r="U136" s="41">
        <v>0</v>
      </c>
    </row>
    <row r="137" spans="2:21" ht="39.75" customHeight="1" x14ac:dyDescent="0.2">
      <c r="B137" s="43"/>
      <c r="C137" s="16" t="s">
        <v>568</v>
      </c>
      <c r="D137" s="16">
        <v>2018</v>
      </c>
      <c r="E137" s="38"/>
      <c r="F137" s="7" t="s">
        <v>552</v>
      </c>
      <c r="G137" s="26" t="s">
        <v>553</v>
      </c>
      <c r="H137" s="7" t="s">
        <v>554</v>
      </c>
      <c r="I137" s="40"/>
      <c r="J137" s="17">
        <v>43677</v>
      </c>
      <c r="K137" s="41">
        <v>0</v>
      </c>
      <c r="L137" s="41">
        <v>0</v>
      </c>
      <c r="M137" s="41">
        <v>0</v>
      </c>
      <c r="N137" s="41">
        <v>0</v>
      </c>
      <c r="O137" s="41">
        <v>0</v>
      </c>
      <c r="P137" s="41">
        <v>0</v>
      </c>
      <c r="Q137" s="41">
        <f>10373.34</f>
        <v>10373.34</v>
      </c>
      <c r="R137" s="41">
        <v>10373.34</v>
      </c>
      <c r="S137" s="41">
        <v>10373.34</v>
      </c>
      <c r="T137" s="41">
        <v>10373.34</v>
      </c>
      <c r="U137" s="41">
        <v>10373.34</v>
      </c>
    </row>
    <row r="138" spans="2:21" ht="39.75" customHeight="1" x14ac:dyDescent="0.2">
      <c r="B138" s="43" t="s">
        <v>550</v>
      </c>
      <c r="C138" s="16" t="s">
        <v>450</v>
      </c>
      <c r="D138" s="16">
        <v>2018</v>
      </c>
      <c r="E138" s="38"/>
      <c r="F138" s="7" t="s">
        <v>453</v>
      </c>
      <c r="G138" s="26" t="s">
        <v>451</v>
      </c>
      <c r="H138" s="7" t="s">
        <v>452</v>
      </c>
      <c r="I138" s="40"/>
      <c r="J138" s="17">
        <v>43361</v>
      </c>
      <c r="K138" s="41">
        <v>0</v>
      </c>
      <c r="L138" s="41">
        <v>0</v>
      </c>
      <c r="M138" s="41">
        <v>0</v>
      </c>
      <c r="N138" s="41">
        <v>0</v>
      </c>
      <c r="O138" s="41">
        <v>0</v>
      </c>
      <c r="P138" s="41">
        <v>0</v>
      </c>
      <c r="Q138" s="41">
        <f>376223.45</f>
        <v>376223.45</v>
      </c>
      <c r="R138" s="41">
        <v>0</v>
      </c>
      <c r="S138" s="41">
        <v>0</v>
      </c>
      <c r="T138" s="41">
        <v>0</v>
      </c>
      <c r="U138" s="41">
        <v>0</v>
      </c>
    </row>
    <row r="139" spans="2:21" ht="39.75" customHeight="1" x14ac:dyDescent="0.2">
      <c r="B139" s="43" t="s">
        <v>550</v>
      </c>
      <c r="C139" s="16" t="s">
        <v>563</v>
      </c>
      <c r="D139" s="16">
        <v>2018</v>
      </c>
      <c r="E139" s="38"/>
      <c r="F139" s="7" t="s">
        <v>564</v>
      </c>
      <c r="G139" s="26" t="s">
        <v>565</v>
      </c>
      <c r="H139" s="7" t="s">
        <v>366</v>
      </c>
      <c r="I139" s="40"/>
      <c r="J139" s="23" t="s">
        <v>329</v>
      </c>
      <c r="K139" s="41">
        <v>0</v>
      </c>
      <c r="L139" s="41">
        <v>0</v>
      </c>
      <c r="M139" s="41">
        <v>0</v>
      </c>
      <c r="N139" s="41">
        <v>0</v>
      </c>
      <c r="O139" s="41">
        <v>0</v>
      </c>
      <c r="P139" s="41">
        <v>40800</v>
      </c>
      <c r="Q139" s="41">
        <v>0</v>
      </c>
      <c r="R139" s="41">
        <v>0</v>
      </c>
      <c r="S139" s="41">
        <v>0</v>
      </c>
      <c r="T139" s="41">
        <v>0</v>
      </c>
      <c r="U139" s="41">
        <v>0</v>
      </c>
    </row>
    <row r="140" spans="2:21" ht="39.75" customHeight="1" x14ac:dyDescent="0.2">
      <c r="B140" s="43" t="s">
        <v>550</v>
      </c>
      <c r="C140" s="16" t="s">
        <v>465</v>
      </c>
      <c r="D140" s="16">
        <v>2018</v>
      </c>
      <c r="E140" s="38"/>
      <c r="F140" s="7" t="s">
        <v>577</v>
      </c>
      <c r="G140" s="26" t="s">
        <v>466</v>
      </c>
      <c r="H140" s="7" t="s">
        <v>467</v>
      </c>
      <c r="I140" s="40"/>
      <c r="J140" s="23" t="s">
        <v>329</v>
      </c>
      <c r="K140" s="41">
        <v>0</v>
      </c>
      <c r="L140" s="41">
        <v>0</v>
      </c>
      <c r="M140" s="41">
        <v>0</v>
      </c>
      <c r="N140" s="41">
        <v>0</v>
      </c>
      <c r="O140" s="41">
        <v>0</v>
      </c>
      <c r="P140" s="41">
        <v>0</v>
      </c>
      <c r="Q140" s="41">
        <f>146064.88</f>
        <v>146064.88</v>
      </c>
      <c r="R140" s="41">
        <v>0</v>
      </c>
      <c r="S140" s="41">
        <v>0</v>
      </c>
      <c r="T140" s="41">
        <v>0</v>
      </c>
      <c r="U140" s="41">
        <v>0</v>
      </c>
    </row>
    <row r="141" spans="2:21" ht="39.75" customHeight="1" x14ac:dyDescent="0.2">
      <c r="B141" s="43" t="s">
        <v>550</v>
      </c>
      <c r="C141" s="16" t="s">
        <v>574</v>
      </c>
      <c r="D141" s="16">
        <v>2018</v>
      </c>
      <c r="E141" s="38"/>
      <c r="F141" s="7" t="s">
        <v>576</v>
      </c>
      <c r="G141" s="26" t="s">
        <v>466</v>
      </c>
      <c r="H141" s="7" t="s">
        <v>575</v>
      </c>
      <c r="I141" s="40"/>
      <c r="J141" s="23" t="s">
        <v>329</v>
      </c>
      <c r="K141" s="41">
        <v>0</v>
      </c>
      <c r="L141" s="41">
        <v>0</v>
      </c>
      <c r="M141" s="41">
        <v>0</v>
      </c>
      <c r="N141" s="41">
        <v>0</v>
      </c>
      <c r="O141" s="41">
        <v>0</v>
      </c>
      <c r="P141" s="41">
        <v>0</v>
      </c>
      <c r="Q141" s="41">
        <v>0</v>
      </c>
      <c r="R141" s="41">
        <v>0</v>
      </c>
      <c r="S141" s="41">
        <f>43177.26</f>
        <v>43177.26</v>
      </c>
      <c r="T141" s="41">
        <v>0</v>
      </c>
      <c r="U141" s="41">
        <v>0</v>
      </c>
    </row>
    <row r="142" spans="2:21" ht="270" x14ac:dyDescent="0.2">
      <c r="B142" s="43" t="s">
        <v>550</v>
      </c>
      <c r="C142" s="16" t="s">
        <v>363</v>
      </c>
      <c r="D142" s="16">
        <v>2018</v>
      </c>
      <c r="E142" s="38" t="s">
        <v>69</v>
      </c>
      <c r="F142" s="7" t="s">
        <v>364</v>
      </c>
      <c r="G142" s="26" t="s">
        <v>365</v>
      </c>
      <c r="H142" s="7" t="s">
        <v>366</v>
      </c>
      <c r="I142" s="40" t="s">
        <v>241</v>
      </c>
      <c r="J142" s="17">
        <v>43290</v>
      </c>
      <c r="K142" s="41">
        <v>0</v>
      </c>
      <c r="L142" s="41">
        <v>0</v>
      </c>
      <c r="M142" s="41">
        <v>0</v>
      </c>
      <c r="N142" s="41">
        <v>70200</v>
      </c>
      <c r="O142" s="41">
        <v>0</v>
      </c>
      <c r="P142" s="41">
        <v>0</v>
      </c>
      <c r="Q142" s="41">
        <v>0</v>
      </c>
      <c r="R142" s="41">
        <v>0</v>
      </c>
      <c r="S142" s="41">
        <v>0</v>
      </c>
      <c r="T142" s="41">
        <v>0</v>
      </c>
      <c r="U142" s="41">
        <v>0</v>
      </c>
    </row>
    <row r="143" spans="2:21" ht="29.25" customHeight="1" x14ac:dyDescent="0.2">
      <c r="B143" s="43" t="s">
        <v>550</v>
      </c>
      <c r="C143" s="16" t="s">
        <v>377</v>
      </c>
      <c r="D143" s="16">
        <v>2018</v>
      </c>
      <c r="E143" s="38" t="s">
        <v>69</v>
      </c>
      <c r="F143" s="7" t="s">
        <v>372</v>
      </c>
      <c r="G143" s="26" t="s">
        <v>373</v>
      </c>
      <c r="H143" s="7" t="s">
        <v>374</v>
      </c>
      <c r="I143" s="40" t="s">
        <v>241</v>
      </c>
      <c r="J143" s="23" t="s">
        <v>329</v>
      </c>
      <c r="K143" s="41">
        <v>2500</v>
      </c>
      <c r="L143" s="41" t="s">
        <v>245</v>
      </c>
      <c r="M143" s="41">
        <v>0</v>
      </c>
      <c r="N143" s="41">
        <v>0</v>
      </c>
      <c r="O143" s="41">
        <v>0</v>
      </c>
      <c r="P143" s="41">
        <v>0</v>
      </c>
      <c r="Q143" s="41">
        <v>0</v>
      </c>
      <c r="R143" s="41">
        <v>0</v>
      </c>
      <c r="S143" s="41">
        <v>0</v>
      </c>
      <c r="T143" s="41">
        <v>0</v>
      </c>
      <c r="U143" s="41">
        <v>0</v>
      </c>
    </row>
    <row r="144" spans="2:21" ht="270" x14ac:dyDescent="0.2">
      <c r="B144" s="43" t="s">
        <v>550</v>
      </c>
      <c r="C144" s="16" t="s">
        <v>378</v>
      </c>
      <c r="D144" s="16">
        <v>2018</v>
      </c>
      <c r="E144" s="38" t="s">
        <v>69</v>
      </c>
      <c r="F144" s="7" t="s">
        <v>379</v>
      </c>
      <c r="G144" s="26" t="s">
        <v>380</v>
      </c>
      <c r="H144" s="7" t="s">
        <v>381</v>
      </c>
      <c r="I144" s="40" t="s">
        <v>241</v>
      </c>
      <c r="J144" s="23" t="s">
        <v>329</v>
      </c>
      <c r="K144" s="41">
        <v>2500</v>
      </c>
      <c r="L144" s="41" t="s">
        <v>245</v>
      </c>
      <c r="M144" s="41">
        <v>0</v>
      </c>
      <c r="N144" s="41">
        <v>0</v>
      </c>
      <c r="O144" s="41">
        <v>0</v>
      </c>
      <c r="P144" s="41">
        <v>0</v>
      </c>
      <c r="Q144" s="41">
        <v>0</v>
      </c>
      <c r="R144" s="41">
        <v>0</v>
      </c>
      <c r="S144" s="41">
        <v>0</v>
      </c>
      <c r="T144" s="41">
        <v>0</v>
      </c>
      <c r="U144" s="41">
        <v>0</v>
      </c>
    </row>
    <row r="145" spans="2:21" ht="270" x14ac:dyDescent="0.2">
      <c r="B145" s="43" t="s">
        <v>550</v>
      </c>
      <c r="C145" s="16" t="s">
        <v>382</v>
      </c>
      <c r="D145" s="16">
        <v>2018</v>
      </c>
      <c r="E145" s="38" t="s">
        <v>69</v>
      </c>
      <c r="F145" s="7" t="s">
        <v>383</v>
      </c>
      <c r="G145" s="26" t="s">
        <v>385</v>
      </c>
      <c r="H145" s="7" t="s">
        <v>387</v>
      </c>
      <c r="I145" s="40" t="s">
        <v>241</v>
      </c>
      <c r="J145" s="23" t="s">
        <v>329</v>
      </c>
      <c r="K145" s="41">
        <v>0</v>
      </c>
      <c r="L145" s="41">
        <v>1400</v>
      </c>
      <c r="M145" s="41">
        <v>0</v>
      </c>
      <c r="N145" s="41">
        <v>0</v>
      </c>
      <c r="O145" s="41">
        <v>0</v>
      </c>
      <c r="P145" s="41">
        <v>0</v>
      </c>
      <c r="Q145" s="41">
        <v>0</v>
      </c>
      <c r="R145" s="41">
        <v>0</v>
      </c>
      <c r="S145" s="41">
        <v>0</v>
      </c>
      <c r="T145" s="41">
        <v>0</v>
      </c>
      <c r="U145" s="41">
        <v>0</v>
      </c>
    </row>
    <row r="146" spans="2:21" ht="270" x14ac:dyDescent="0.2">
      <c r="B146" s="43" t="s">
        <v>550</v>
      </c>
      <c r="C146" s="16" t="s">
        <v>382</v>
      </c>
      <c r="D146" s="16">
        <v>2018</v>
      </c>
      <c r="E146" s="38" t="s">
        <v>69</v>
      </c>
      <c r="F146" s="7" t="s">
        <v>384</v>
      </c>
      <c r="G146" s="26" t="s">
        <v>386</v>
      </c>
      <c r="H146" s="7" t="s">
        <v>387</v>
      </c>
      <c r="I146" s="40" t="s">
        <v>241</v>
      </c>
      <c r="J146" s="23" t="s">
        <v>329</v>
      </c>
      <c r="K146" s="41">
        <v>0</v>
      </c>
      <c r="L146" s="41">
        <v>1997</v>
      </c>
      <c r="M146" s="41">
        <v>0</v>
      </c>
      <c r="N146" s="41">
        <v>0</v>
      </c>
      <c r="O146" s="41">
        <v>0</v>
      </c>
      <c r="P146" s="41">
        <v>0</v>
      </c>
      <c r="Q146" s="41">
        <v>0</v>
      </c>
      <c r="R146" s="41">
        <v>0</v>
      </c>
      <c r="S146" s="41">
        <v>0</v>
      </c>
      <c r="T146" s="41">
        <v>0</v>
      </c>
      <c r="U146" s="41">
        <v>0</v>
      </c>
    </row>
    <row r="147" spans="2:21" ht="270" x14ac:dyDescent="0.2">
      <c r="B147" s="43" t="s">
        <v>550</v>
      </c>
      <c r="C147" s="16" t="s">
        <v>388</v>
      </c>
      <c r="D147" s="16">
        <v>2018</v>
      </c>
      <c r="E147" s="38" t="s">
        <v>69</v>
      </c>
      <c r="F147" s="7" t="s">
        <v>389</v>
      </c>
      <c r="G147" s="26" t="s">
        <v>390</v>
      </c>
      <c r="H147" s="7" t="s">
        <v>391</v>
      </c>
      <c r="I147" s="40" t="s">
        <v>241</v>
      </c>
      <c r="J147" s="23" t="s">
        <v>329</v>
      </c>
      <c r="K147" s="41">
        <v>0</v>
      </c>
      <c r="L147" s="41">
        <v>2655.58</v>
      </c>
      <c r="M147" s="41">
        <v>0</v>
      </c>
      <c r="N147" s="41">
        <v>0</v>
      </c>
      <c r="O147" s="41">
        <v>0</v>
      </c>
      <c r="P147" s="41">
        <v>0</v>
      </c>
      <c r="Q147" s="41">
        <v>0</v>
      </c>
      <c r="R147" s="41">
        <v>0</v>
      </c>
      <c r="S147" s="41">
        <v>0</v>
      </c>
      <c r="T147" s="41">
        <v>0</v>
      </c>
      <c r="U147" s="41">
        <v>0</v>
      </c>
    </row>
    <row r="148" spans="2:21" ht="270" x14ac:dyDescent="0.2">
      <c r="B148" s="43" t="s">
        <v>550</v>
      </c>
      <c r="C148" s="16" t="s">
        <v>392</v>
      </c>
      <c r="D148" s="16">
        <v>2018</v>
      </c>
      <c r="E148" s="38" t="s">
        <v>69</v>
      </c>
      <c r="F148" s="7" t="s">
        <v>393</v>
      </c>
      <c r="G148" s="26" t="s">
        <v>394</v>
      </c>
      <c r="H148" s="7" t="s">
        <v>395</v>
      </c>
      <c r="I148" s="40" t="s">
        <v>241</v>
      </c>
      <c r="J148" s="23" t="s">
        <v>329</v>
      </c>
      <c r="K148" s="41">
        <v>0</v>
      </c>
      <c r="L148" s="41">
        <f>2979.95</f>
        <v>2979.95</v>
      </c>
      <c r="M148" s="41">
        <v>0</v>
      </c>
      <c r="N148" s="41">
        <v>0</v>
      </c>
      <c r="O148" s="41">
        <v>0</v>
      </c>
      <c r="P148" s="41">
        <v>0</v>
      </c>
      <c r="Q148" s="41">
        <v>0</v>
      </c>
      <c r="R148" s="41">
        <v>0</v>
      </c>
      <c r="S148" s="41">
        <v>0</v>
      </c>
      <c r="T148" s="41">
        <v>0</v>
      </c>
      <c r="U148" s="41">
        <v>0</v>
      </c>
    </row>
    <row r="149" spans="2:21" ht="30" x14ac:dyDescent="0.2">
      <c r="B149" s="43" t="s">
        <v>550</v>
      </c>
      <c r="C149" s="16" t="s">
        <v>397</v>
      </c>
      <c r="D149" s="16">
        <v>2018</v>
      </c>
      <c r="E149" s="49"/>
      <c r="F149" s="7" t="s">
        <v>396</v>
      </c>
      <c r="G149" s="50" t="s">
        <v>398</v>
      </c>
      <c r="H149" s="7" t="s">
        <v>399</v>
      </c>
      <c r="I149" s="49"/>
      <c r="J149" s="23" t="s">
        <v>329</v>
      </c>
      <c r="K149" s="41">
        <v>0</v>
      </c>
      <c r="L149" s="41">
        <v>2398.8000000000002</v>
      </c>
      <c r="M149" s="41">
        <v>0</v>
      </c>
      <c r="N149" s="41">
        <v>0</v>
      </c>
      <c r="O149" s="41">
        <v>0</v>
      </c>
      <c r="P149" s="41">
        <v>0</v>
      </c>
      <c r="Q149" s="41">
        <v>0</v>
      </c>
      <c r="R149" s="41">
        <v>0</v>
      </c>
      <c r="S149" s="41">
        <v>0</v>
      </c>
      <c r="T149" s="41">
        <v>0</v>
      </c>
      <c r="U149" s="41">
        <v>0</v>
      </c>
    </row>
    <row r="150" spans="2:21" ht="30" x14ac:dyDescent="0.2">
      <c r="B150" s="43" t="s">
        <v>550</v>
      </c>
      <c r="C150" s="16" t="s">
        <v>400</v>
      </c>
      <c r="D150" s="16">
        <v>2018</v>
      </c>
      <c r="E150" s="49"/>
      <c r="F150" s="7" t="s">
        <v>401</v>
      </c>
      <c r="G150" s="50" t="s">
        <v>402</v>
      </c>
      <c r="H150" s="7" t="s">
        <v>403</v>
      </c>
      <c r="I150" s="49"/>
      <c r="J150" s="23" t="s">
        <v>329</v>
      </c>
      <c r="K150" s="41">
        <v>0</v>
      </c>
      <c r="L150" s="41">
        <v>2550</v>
      </c>
      <c r="M150" s="41">
        <v>0</v>
      </c>
      <c r="N150" s="41">
        <v>0</v>
      </c>
      <c r="O150" s="41">
        <v>0</v>
      </c>
      <c r="P150" s="41">
        <v>0</v>
      </c>
      <c r="Q150" s="41">
        <v>0</v>
      </c>
      <c r="R150" s="41">
        <v>0</v>
      </c>
      <c r="S150" s="41">
        <v>0</v>
      </c>
      <c r="T150" s="41">
        <v>0</v>
      </c>
      <c r="U150" s="41">
        <v>0</v>
      </c>
    </row>
    <row r="151" spans="2:21" ht="30" x14ac:dyDescent="0.2">
      <c r="B151" s="43" t="s">
        <v>550</v>
      </c>
      <c r="C151" s="16" t="s">
        <v>405</v>
      </c>
      <c r="D151" s="16">
        <v>2017</v>
      </c>
      <c r="E151" s="49"/>
      <c r="F151" s="7" t="s">
        <v>404</v>
      </c>
      <c r="G151" s="50" t="s">
        <v>406</v>
      </c>
      <c r="H151" s="7" t="s">
        <v>407</v>
      </c>
      <c r="I151" s="49"/>
      <c r="J151" s="23" t="s">
        <v>329</v>
      </c>
      <c r="K151" s="41">
        <v>0</v>
      </c>
      <c r="L151" s="41">
        <v>1250</v>
      </c>
      <c r="M151" s="41">
        <v>0</v>
      </c>
      <c r="N151" s="41">
        <v>0</v>
      </c>
      <c r="O151" s="41">
        <v>0</v>
      </c>
      <c r="P151" s="41">
        <v>0</v>
      </c>
      <c r="Q151" s="41">
        <v>0</v>
      </c>
      <c r="R151" s="41">
        <v>0</v>
      </c>
      <c r="S151" s="41">
        <v>0</v>
      </c>
      <c r="T151" s="41">
        <v>0</v>
      </c>
      <c r="U151" s="41">
        <v>0</v>
      </c>
    </row>
    <row r="152" spans="2:21" ht="30" x14ac:dyDescent="0.2">
      <c r="B152" s="43" t="s">
        <v>550</v>
      </c>
      <c r="C152" s="16" t="s">
        <v>408</v>
      </c>
      <c r="D152" s="16">
        <v>2017</v>
      </c>
      <c r="E152" s="49"/>
      <c r="F152" s="7" t="s">
        <v>409</v>
      </c>
      <c r="G152" s="50" t="s">
        <v>410</v>
      </c>
      <c r="H152" s="7" t="s">
        <v>411</v>
      </c>
      <c r="I152" s="49"/>
      <c r="J152" s="23" t="s">
        <v>329</v>
      </c>
      <c r="K152" s="41">
        <v>0</v>
      </c>
      <c r="L152" s="41">
        <v>221.5</v>
      </c>
      <c r="M152" s="41">
        <v>0</v>
      </c>
      <c r="N152" s="41">
        <v>0</v>
      </c>
      <c r="O152" s="41">
        <v>0</v>
      </c>
      <c r="P152" s="41">
        <v>0</v>
      </c>
      <c r="Q152" s="41">
        <v>0</v>
      </c>
      <c r="R152" s="41">
        <v>0</v>
      </c>
      <c r="S152" s="41">
        <v>0</v>
      </c>
      <c r="T152" s="41">
        <v>0</v>
      </c>
      <c r="U152" s="41">
        <v>0</v>
      </c>
    </row>
    <row r="153" spans="2:21" ht="30" customHeight="1" x14ac:dyDescent="0.2">
      <c r="B153" s="19"/>
      <c r="C153" s="16" t="s">
        <v>486</v>
      </c>
      <c r="D153" s="16">
        <v>2018</v>
      </c>
      <c r="E153" s="49"/>
      <c r="F153" s="7" t="s">
        <v>413</v>
      </c>
      <c r="G153" s="50" t="s">
        <v>487</v>
      </c>
      <c r="H153" s="7" t="s">
        <v>488</v>
      </c>
      <c r="I153" s="49"/>
      <c r="J153" s="23" t="s">
        <v>329</v>
      </c>
      <c r="K153" s="41">
        <v>0</v>
      </c>
      <c r="L153" s="41">
        <v>0</v>
      </c>
      <c r="M153" s="41">
        <v>0</v>
      </c>
      <c r="N153" s="41">
        <v>558.13</v>
      </c>
      <c r="O153" s="41">
        <v>497.07</v>
      </c>
      <c r="P153" s="41">
        <v>611.41</v>
      </c>
      <c r="Q153" s="41">
        <v>758.59</v>
      </c>
      <c r="R153" s="41">
        <v>692.48</v>
      </c>
      <c r="S153" s="41">
        <v>773.6</v>
      </c>
      <c r="T153" s="41">
        <v>736.38</v>
      </c>
      <c r="U153" s="41">
        <v>736.38</v>
      </c>
    </row>
    <row r="154" spans="2:21" ht="30" customHeight="1" x14ac:dyDescent="0.2">
      <c r="B154" s="43" t="s">
        <v>550</v>
      </c>
      <c r="C154" s="16" t="s">
        <v>412</v>
      </c>
      <c r="D154" s="16">
        <v>2018</v>
      </c>
      <c r="E154" s="49"/>
      <c r="F154" s="50" t="s">
        <v>413</v>
      </c>
      <c r="G154" s="7" t="s">
        <v>414</v>
      </c>
      <c r="H154" s="7" t="s">
        <v>415</v>
      </c>
      <c r="I154" s="49"/>
      <c r="J154" s="23" t="s">
        <v>329</v>
      </c>
      <c r="K154" s="41">
        <v>0</v>
      </c>
      <c r="L154" s="41">
        <v>175.88</v>
      </c>
      <c r="M154" s="41">
        <v>452.2</v>
      </c>
      <c r="N154" s="41">
        <v>0</v>
      </c>
      <c r="O154" s="41">
        <v>0</v>
      </c>
      <c r="P154" s="41">
        <v>0</v>
      </c>
      <c r="Q154" s="41">
        <v>0</v>
      </c>
      <c r="R154" s="41">
        <v>0</v>
      </c>
      <c r="S154" s="41">
        <v>0</v>
      </c>
      <c r="T154" s="41">
        <v>0</v>
      </c>
      <c r="U154" s="41">
        <v>0</v>
      </c>
    </row>
    <row r="155" spans="2:21" ht="30" customHeight="1" x14ac:dyDescent="0.2">
      <c r="B155" s="43" t="s">
        <v>550</v>
      </c>
      <c r="C155" s="16" t="s">
        <v>429</v>
      </c>
      <c r="D155" s="51">
        <v>2018</v>
      </c>
      <c r="E155" s="38"/>
      <c r="F155" s="46" t="s">
        <v>417</v>
      </c>
      <c r="G155" s="50" t="s">
        <v>420</v>
      </c>
      <c r="H155" s="7" t="s">
        <v>423</v>
      </c>
      <c r="I155" s="49"/>
      <c r="J155" s="23" t="s">
        <v>329</v>
      </c>
      <c r="K155" s="41">
        <v>0</v>
      </c>
      <c r="L155" s="41">
        <v>1950</v>
      </c>
      <c r="M155" s="41">
        <v>0</v>
      </c>
      <c r="N155" s="41">
        <v>0</v>
      </c>
      <c r="O155" s="41">
        <v>0</v>
      </c>
      <c r="P155" s="41">
        <v>0</v>
      </c>
      <c r="Q155" s="41">
        <v>0</v>
      </c>
      <c r="R155" s="41">
        <v>0</v>
      </c>
      <c r="S155" s="41">
        <v>0</v>
      </c>
      <c r="T155" s="41">
        <v>0</v>
      </c>
      <c r="U155" s="41">
        <v>0</v>
      </c>
    </row>
    <row r="156" spans="2:21" ht="30" customHeight="1" x14ac:dyDescent="0.2">
      <c r="B156" s="43" t="s">
        <v>550</v>
      </c>
      <c r="C156" s="16" t="s">
        <v>430</v>
      </c>
      <c r="D156" s="51">
        <v>2018</v>
      </c>
      <c r="E156" s="38"/>
      <c r="F156" s="46" t="s">
        <v>418</v>
      </c>
      <c r="G156" s="50" t="s">
        <v>421</v>
      </c>
      <c r="H156" s="7" t="s">
        <v>424</v>
      </c>
      <c r="I156" s="49"/>
      <c r="J156" s="23" t="s">
        <v>329</v>
      </c>
      <c r="K156" s="41">
        <v>0</v>
      </c>
      <c r="L156" s="41">
        <v>2200</v>
      </c>
      <c r="M156" s="41">
        <v>0</v>
      </c>
      <c r="N156" s="41">
        <v>0</v>
      </c>
      <c r="O156" s="41">
        <v>0</v>
      </c>
      <c r="P156" s="41">
        <v>0</v>
      </c>
      <c r="Q156" s="41">
        <v>0</v>
      </c>
      <c r="R156" s="41">
        <v>0</v>
      </c>
      <c r="S156" s="41">
        <v>0</v>
      </c>
      <c r="T156" s="41">
        <v>0</v>
      </c>
      <c r="U156" s="41">
        <v>0</v>
      </c>
    </row>
    <row r="157" spans="2:21" ht="30" customHeight="1" x14ac:dyDescent="0.2">
      <c r="B157" s="43" t="s">
        <v>550</v>
      </c>
      <c r="C157" s="16" t="s">
        <v>431</v>
      </c>
      <c r="D157" s="51">
        <v>2018</v>
      </c>
      <c r="E157" s="38"/>
      <c r="F157" s="46" t="s">
        <v>419</v>
      </c>
      <c r="G157" s="50" t="s">
        <v>422</v>
      </c>
      <c r="H157" s="7" t="s">
        <v>425</v>
      </c>
      <c r="I157" s="49"/>
      <c r="J157" s="23" t="s">
        <v>329</v>
      </c>
      <c r="K157" s="41">
        <v>0</v>
      </c>
      <c r="L157" s="41">
        <v>1646.4</v>
      </c>
      <c r="M157" s="41">
        <v>0</v>
      </c>
      <c r="N157" s="41">
        <v>0</v>
      </c>
      <c r="O157" s="41">
        <v>0</v>
      </c>
      <c r="P157" s="41">
        <v>0</v>
      </c>
      <c r="Q157" s="41">
        <v>0</v>
      </c>
      <c r="R157" s="41">
        <v>0</v>
      </c>
      <c r="S157" s="41">
        <v>0</v>
      </c>
      <c r="T157" s="41">
        <v>0</v>
      </c>
      <c r="U157" s="41">
        <v>0</v>
      </c>
    </row>
    <row r="158" spans="2:21" ht="30" customHeight="1" x14ac:dyDescent="0.2">
      <c r="B158" s="43" t="s">
        <v>550</v>
      </c>
      <c r="C158" s="16" t="s">
        <v>594</v>
      </c>
      <c r="D158" s="51">
        <v>2018</v>
      </c>
      <c r="E158" s="38"/>
      <c r="F158" s="46" t="s">
        <v>595</v>
      </c>
      <c r="G158" s="50" t="s">
        <v>596</v>
      </c>
      <c r="H158" s="7" t="s">
        <v>597</v>
      </c>
      <c r="I158" s="49"/>
      <c r="J158" s="23" t="s">
        <v>329</v>
      </c>
      <c r="K158" s="41"/>
      <c r="L158" s="41"/>
      <c r="M158" s="41"/>
      <c r="N158" s="41"/>
      <c r="O158" s="41">
        <v>0</v>
      </c>
      <c r="P158" s="41">
        <v>782</v>
      </c>
      <c r="Q158" s="41">
        <v>0</v>
      </c>
      <c r="R158" s="41">
        <v>0</v>
      </c>
      <c r="S158" s="41">
        <v>0</v>
      </c>
      <c r="T158" s="41">
        <v>0</v>
      </c>
      <c r="U158" s="41">
        <v>0</v>
      </c>
    </row>
    <row r="159" spans="2:21" ht="30" customHeight="1" x14ac:dyDescent="0.2">
      <c r="B159" s="43" t="s">
        <v>550</v>
      </c>
      <c r="C159" s="16" t="s">
        <v>590</v>
      </c>
      <c r="D159" s="51">
        <v>2018</v>
      </c>
      <c r="E159" s="38"/>
      <c r="F159" s="46" t="s">
        <v>591</v>
      </c>
      <c r="G159" s="50" t="s">
        <v>592</v>
      </c>
      <c r="H159" s="7" t="s">
        <v>593</v>
      </c>
      <c r="I159" s="49"/>
      <c r="J159" s="23" t="s">
        <v>329</v>
      </c>
      <c r="K159" s="41"/>
      <c r="L159" s="41"/>
      <c r="M159" s="41"/>
      <c r="N159" s="41"/>
      <c r="O159" s="41">
        <v>0</v>
      </c>
      <c r="P159" s="41">
        <v>6600</v>
      </c>
      <c r="Q159" s="41">
        <v>0</v>
      </c>
      <c r="R159" s="41">
        <v>0</v>
      </c>
      <c r="S159" s="41">
        <v>0</v>
      </c>
      <c r="T159" s="41">
        <v>0</v>
      </c>
      <c r="U159" s="41">
        <v>0</v>
      </c>
    </row>
    <row r="160" spans="2:21" ht="30" customHeight="1" x14ac:dyDescent="0.2">
      <c r="B160" s="43" t="s">
        <v>550</v>
      </c>
      <c r="C160" s="16" t="s">
        <v>545</v>
      </c>
      <c r="D160" s="51">
        <v>2018</v>
      </c>
      <c r="E160" s="38"/>
      <c r="F160" s="46" t="s">
        <v>583</v>
      </c>
      <c r="G160" s="50" t="s">
        <v>584</v>
      </c>
      <c r="H160" s="7" t="s">
        <v>548</v>
      </c>
      <c r="I160" s="49"/>
      <c r="J160" s="23" t="s">
        <v>329</v>
      </c>
      <c r="K160" s="41"/>
      <c r="L160" s="41"/>
      <c r="M160" s="41"/>
      <c r="N160" s="41"/>
      <c r="O160" s="41">
        <v>0</v>
      </c>
      <c r="P160" s="41">
        <v>299</v>
      </c>
      <c r="Q160" s="41">
        <v>0</v>
      </c>
      <c r="R160" s="41">
        <v>0</v>
      </c>
      <c r="S160" s="41">
        <v>0</v>
      </c>
      <c r="T160" s="41">
        <v>0</v>
      </c>
      <c r="U160" s="41">
        <v>0</v>
      </c>
    </row>
    <row r="161" spans="2:21" ht="30" customHeight="1" x14ac:dyDescent="0.2">
      <c r="B161" s="43" t="s">
        <v>550</v>
      </c>
      <c r="C161" s="16" t="s">
        <v>586</v>
      </c>
      <c r="D161" s="51">
        <v>2018</v>
      </c>
      <c r="E161" s="38"/>
      <c r="F161" s="46" t="s">
        <v>588</v>
      </c>
      <c r="G161" s="50" t="s">
        <v>587</v>
      </c>
      <c r="H161" s="7" t="s">
        <v>589</v>
      </c>
      <c r="I161" s="49"/>
      <c r="J161" s="23" t="s">
        <v>329</v>
      </c>
      <c r="K161" s="41"/>
      <c r="L161" s="41"/>
      <c r="M161" s="41"/>
      <c r="N161" s="41"/>
      <c r="O161" s="41">
        <v>0</v>
      </c>
      <c r="P161" s="41">
        <v>7900</v>
      </c>
      <c r="Q161" s="41">
        <v>0</v>
      </c>
      <c r="R161" s="41">
        <v>0</v>
      </c>
      <c r="S161" s="41">
        <v>0</v>
      </c>
      <c r="T161" s="41">
        <v>0</v>
      </c>
      <c r="U161" s="41">
        <v>0</v>
      </c>
    </row>
    <row r="162" spans="2:21" ht="30" customHeight="1" x14ac:dyDescent="0.2">
      <c r="B162" s="43" t="s">
        <v>550</v>
      </c>
      <c r="C162" s="16" t="s">
        <v>635</v>
      </c>
      <c r="D162" s="51">
        <v>2018</v>
      </c>
      <c r="E162" s="38"/>
      <c r="F162" s="46" t="s">
        <v>636</v>
      </c>
      <c r="G162" s="50" t="s">
        <v>637</v>
      </c>
      <c r="H162" s="7" t="s">
        <v>638</v>
      </c>
      <c r="I162" s="49"/>
      <c r="J162" s="23" t="s">
        <v>329</v>
      </c>
      <c r="K162" s="41"/>
      <c r="L162" s="41"/>
      <c r="M162" s="41"/>
      <c r="N162" s="41"/>
      <c r="O162" s="42" t="s">
        <v>245</v>
      </c>
      <c r="P162" s="42">
        <v>0</v>
      </c>
      <c r="Q162" s="41">
        <v>276</v>
      </c>
      <c r="R162" s="42">
        <v>0</v>
      </c>
      <c r="S162" s="41">
        <v>0</v>
      </c>
      <c r="T162" s="41">
        <v>0</v>
      </c>
      <c r="U162" s="41">
        <v>0</v>
      </c>
    </row>
    <row r="163" spans="2:21" ht="30" customHeight="1" x14ac:dyDescent="0.2">
      <c r="B163" s="43" t="s">
        <v>550</v>
      </c>
      <c r="C163" s="16" t="s">
        <v>639</v>
      </c>
      <c r="D163" s="51">
        <v>2018</v>
      </c>
      <c r="E163" s="38"/>
      <c r="F163" s="46" t="s">
        <v>640</v>
      </c>
      <c r="G163" s="50" t="s">
        <v>641</v>
      </c>
      <c r="H163" s="7" t="s">
        <v>642</v>
      </c>
      <c r="I163" s="49"/>
      <c r="J163" s="23" t="s">
        <v>329</v>
      </c>
      <c r="K163" s="41"/>
      <c r="L163" s="41"/>
      <c r="M163" s="41"/>
      <c r="N163" s="41"/>
      <c r="O163" s="42" t="s">
        <v>245</v>
      </c>
      <c r="P163" s="42">
        <v>0</v>
      </c>
      <c r="Q163" s="41">
        <v>9925.6</v>
      </c>
      <c r="R163" s="42">
        <v>0</v>
      </c>
      <c r="S163" s="41">
        <v>0</v>
      </c>
      <c r="T163" s="41">
        <v>0</v>
      </c>
      <c r="U163" s="41">
        <v>0</v>
      </c>
    </row>
    <row r="164" spans="2:21" ht="30" customHeight="1" x14ac:dyDescent="0.2">
      <c r="B164" s="43" t="s">
        <v>550</v>
      </c>
      <c r="C164" s="16" t="s">
        <v>627</v>
      </c>
      <c r="D164" s="51">
        <v>2018</v>
      </c>
      <c r="E164" s="38"/>
      <c r="F164" s="46" t="s">
        <v>628</v>
      </c>
      <c r="G164" s="50" t="s">
        <v>629</v>
      </c>
      <c r="H164" s="7" t="s">
        <v>630</v>
      </c>
      <c r="I164" s="49"/>
      <c r="J164" s="23" t="s">
        <v>329</v>
      </c>
      <c r="K164" s="41"/>
      <c r="L164" s="41"/>
      <c r="M164" s="41"/>
      <c r="N164" s="41"/>
      <c r="O164" s="42" t="s">
        <v>245</v>
      </c>
      <c r="P164" s="42">
        <v>0</v>
      </c>
      <c r="Q164" s="41">
        <v>900</v>
      </c>
      <c r="R164" s="42">
        <v>0</v>
      </c>
      <c r="S164" s="41">
        <v>0</v>
      </c>
      <c r="T164" s="41">
        <v>0</v>
      </c>
      <c r="U164" s="41">
        <v>0</v>
      </c>
    </row>
    <row r="165" spans="2:21" ht="30" customHeight="1" x14ac:dyDescent="0.2">
      <c r="B165" s="43" t="s">
        <v>550</v>
      </c>
      <c r="C165" s="16" t="s">
        <v>631</v>
      </c>
      <c r="D165" s="51">
        <v>2018</v>
      </c>
      <c r="E165" s="38"/>
      <c r="F165" s="46" t="s">
        <v>632</v>
      </c>
      <c r="G165" s="50" t="s">
        <v>633</v>
      </c>
      <c r="H165" s="7" t="s">
        <v>634</v>
      </c>
      <c r="I165" s="49"/>
      <c r="J165" s="23" t="s">
        <v>329</v>
      </c>
      <c r="K165" s="41"/>
      <c r="L165" s="41"/>
      <c r="M165" s="41"/>
      <c r="N165" s="41"/>
      <c r="O165" s="42" t="s">
        <v>245</v>
      </c>
      <c r="P165" s="42">
        <v>0</v>
      </c>
      <c r="Q165" s="41">
        <v>80</v>
      </c>
      <c r="R165" s="42">
        <v>0</v>
      </c>
      <c r="S165" s="41">
        <v>0</v>
      </c>
      <c r="T165" s="41">
        <v>0</v>
      </c>
      <c r="U165" s="41">
        <v>0</v>
      </c>
    </row>
    <row r="166" spans="2:21" ht="30" customHeight="1" x14ac:dyDescent="0.2">
      <c r="B166" s="43" t="s">
        <v>550</v>
      </c>
      <c r="C166" s="16" t="s">
        <v>631</v>
      </c>
      <c r="D166" s="51">
        <v>2018</v>
      </c>
      <c r="E166" s="38"/>
      <c r="F166" s="46" t="s">
        <v>643</v>
      </c>
      <c r="G166" s="50" t="s">
        <v>644</v>
      </c>
      <c r="H166" s="7" t="s">
        <v>634</v>
      </c>
      <c r="I166" s="49"/>
      <c r="J166" s="23" t="s">
        <v>329</v>
      </c>
      <c r="K166" s="41"/>
      <c r="L166" s="41"/>
      <c r="M166" s="41"/>
      <c r="N166" s="41"/>
      <c r="O166" s="42" t="s">
        <v>245</v>
      </c>
      <c r="P166" s="42">
        <v>0</v>
      </c>
      <c r="Q166" s="41">
        <v>85.96</v>
      </c>
      <c r="R166" s="42">
        <v>0</v>
      </c>
      <c r="S166" s="41">
        <v>0</v>
      </c>
      <c r="T166" s="41">
        <v>0</v>
      </c>
      <c r="U166" s="41">
        <v>0</v>
      </c>
    </row>
    <row r="167" spans="2:21" ht="30" customHeight="1" x14ac:dyDescent="0.2">
      <c r="B167" s="43" t="s">
        <v>550</v>
      </c>
      <c r="C167" s="16" t="s">
        <v>650</v>
      </c>
      <c r="D167" s="51">
        <v>2018</v>
      </c>
      <c r="E167" s="38"/>
      <c r="F167" s="46" t="s">
        <v>651</v>
      </c>
      <c r="G167" s="50" t="s">
        <v>652</v>
      </c>
      <c r="H167" s="7" t="s">
        <v>653</v>
      </c>
      <c r="I167" s="49"/>
      <c r="J167" s="23" t="s">
        <v>329</v>
      </c>
      <c r="K167" s="41"/>
      <c r="L167" s="41"/>
      <c r="M167" s="41"/>
      <c r="N167" s="41"/>
      <c r="O167" s="42" t="s">
        <v>245</v>
      </c>
      <c r="P167" s="42">
        <v>0</v>
      </c>
      <c r="Q167" s="42">
        <v>0</v>
      </c>
      <c r="R167" s="42">
        <v>5330</v>
      </c>
      <c r="S167" s="41">
        <v>0</v>
      </c>
      <c r="T167" s="41">
        <v>0</v>
      </c>
      <c r="U167" s="41">
        <v>0</v>
      </c>
    </row>
    <row r="168" spans="2:21" ht="30" x14ac:dyDescent="0.2">
      <c r="B168" s="43" t="s">
        <v>550</v>
      </c>
      <c r="C168" s="52" t="s">
        <v>585</v>
      </c>
      <c r="D168" s="51">
        <v>2018</v>
      </c>
      <c r="E168" s="38"/>
      <c r="F168" s="7" t="s">
        <v>432</v>
      </c>
      <c r="G168" s="7" t="s">
        <v>433</v>
      </c>
      <c r="H168" s="7" t="s">
        <v>434</v>
      </c>
      <c r="I168" s="38"/>
      <c r="J168" s="23" t="s">
        <v>329</v>
      </c>
      <c r="K168" s="41">
        <v>0</v>
      </c>
      <c r="L168" s="41">
        <v>0</v>
      </c>
      <c r="M168" s="41">
        <v>702717</v>
      </c>
      <c r="N168" s="41">
        <v>0</v>
      </c>
      <c r="O168" s="41">
        <v>0</v>
      </c>
      <c r="P168" s="41">
        <v>0</v>
      </c>
      <c r="Q168" s="41">
        <v>0</v>
      </c>
      <c r="R168" s="41">
        <v>0</v>
      </c>
      <c r="S168" s="41">
        <v>0</v>
      </c>
      <c r="T168" s="41">
        <v>0</v>
      </c>
      <c r="U168" s="41">
        <v>0</v>
      </c>
    </row>
    <row r="169" spans="2:21" ht="34.5" customHeight="1" x14ac:dyDescent="0.2">
      <c r="B169" s="43" t="s">
        <v>550</v>
      </c>
      <c r="C169" s="16" t="s">
        <v>735</v>
      </c>
      <c r="D169" s="51">
        <v>2018</v>
      </c>
      <c r="E169" s="38"/>
      <c r="F169" s="7" t="s">
        <v>736</v>
      </c>
      <c r="G169" s="7" t="s">
        <v>737</v>
      </c>
      <c r="H169" s="7" t="s">
        <v>738</v>
      </c>
      <c r="I169" s="38"/>
      <c r="J169" s="23" t="s">
        <v>329</v>
      </c>
      <c r="K169" s="41"/>
      <c r="L169" s="41"/>
      <c r="M169" s="41"/>
      <c r="N169" s="41"/>
      <c r="O169" s="41"/>
      <c r="P169" s="41"/>
      <c r="Q169" s="41"/>
      <c r="R169" s="41">
        <v>0</v>
      </c>
      <c r="S169" s="41">
        <v>0</v>
      </c>
      <c r="T169" s="41">
        <v>0</v>
      </c>
      <c r="U169" s="41">
        <v>5278.08</v>
      </c>
    </row>
    <row r="170" spans="2:21" ht="36" customHeight="1" x14ac:dyDescent="0.2">
      <c r="B170" s="19"/>
      <c r="C170" s="16" t="s">
        <v>440</v>
      </c>
      <c r="D170" s="51">
        <v>2018</v>
      </c>
      <c r="E170" s="38"/>
      <c r="F170" s="7" t="s">
        <v>441</v>
      </c>
      <c r="G170" s="7" t="s">
        <v>433</v>
      </c>
      <c r="H170" s="7" t="s">
        <v>442</v>
      </c>
      <c r="I170" s="38"/>
      <c r="J170" s="23">
        <v>43556</v>
      </c>
      <c r="K170" s="41">
        <v>0</v>
      </c>
      <c r="L170" s="41">
        <v>0</v>
      </c>
      <c r="M170" s="41">
        <f>0</f>
        <v>0</v>
      </c>
      <c r="N170" s="41">
        <f>71746.6</f>
        <v>71746.600000000006</v>
      </c>
      <c r="O170" s="41">
        <f>71746.6+71746.6</f>
        <v>143493.20000000001</v>
      </c>
      <c r="P170" s="41">
        <v>71746.600000000006</v>
      </c>
      <c r="Q170" s="41">
        <v>71746.600000000006</v>
      </c>
      <c r="R170" s="41">
        <f>12669+74280.4</f>
        <v>86949.4</v>
      </c>
      <c r="S170" s="41">
        <v>74280.399999999994</v>
      </c>
      <c r="T170" s="41">
        <v>74280.399999999994</v>
      </c>
      <c r="U170" s="41">
        <v>74280.399999999994</v>
      </c>
    </row>
    <row r="171" spans="2:21" ht="15" x14ac:dyDescent="0.2">
      <c r="C171" s="4"/>
      <c r="D171" s="4"/>
      <c r="E171" s="1"/>
      <c r="F171" s="1"/>
      <c r="G171" s="1"/>
      <c r="H171" s="1"/>
      <c r="I171" s="1"/>
      <c r="J171" s="6"/>
    </row>
    <row r="172" spans="2:21" ht="15" x14ac:dyDescent="0.2">
      <c r="C172" s="4"/>
      <c r="D172" s="4"/>
      <c r="E172" s="1"/>
      <c r="F172" s="1"/>
      <c r="G172" s="1"/>
      <c r="H172" s="1"/>
      <c r="I172" s="1"/>
      <c r="J172" s="6"/>
    </row>
    <row r="173" spans="2:21" ht="15" x14ac:dyDescent="0.2">
      <c r="C173" s="4"/>
      <c r="D173" s="4"/>
      <c r="E173" s="1"/>
      <c r="F173" s="1"/>
      <c r="G173" s="1"/>
      <c r="H173" s="1"/>
      <c r="I173" s="1"/>
      <c r="J173" s="6"/>
    </row>
    <row r="174" spans="2:21" ht="15" x14ac:dyDescent="0.2">
      <c r="C174" s="4"/>
      <c r="D174" s="4"/>
      <c r="E174" s="1"/>
      <c r="F174" s="1"/>
      <c r="G174" s="1"/>
      <c r="H174" s="1"/>
      <c r="I174" s="1"/>
      <c r="J174" s="6"/>
    </row>
    <row r="175" spans="2:21" ht="15" x14ac:dyDescent="0.2">
      <c r="C175" s="4"/>
      <c r="D175" s="4"/>
      <c r="E175" s="1"/>
      <c r="F175" s="1"/>
      <c r="G175" s="1"/>
      <c r="H175" s="1"/>
      <c r="I175" s="1"/>
      <c r="J175" s="6"/>
    </row>
    <row r="176" spans="2:21" ht="15" x14ac:dyDescent="0.2">
      <c r="C176" s="4"/>
      <c r="D176" s="4"/>
      <c r="E176" s="1"/>
      <c r="F176" s="1"/>
      <c r="G176" s="1"/>
      <c r="H176" s="1"/>
      <c r="I176" s="1"/>
      <c r="J176" s="6"/>
    </row>
    <row r="177" spans="3:10" ht="15" x14ac:dyDescent="0.2">
      <c r="C177" s="4"/>
      <c r="D177" s="4"/>
      <c r="E177" s="1"/>
      <c r="F177" s="1"/>
      <c r="G177" s="1"/>
      <c r="H177" s="1"/>
      <c r="I177" s="1"/>
      <c r="J177" s="6"/>
    </row>
    <row r="178" spans="3:10" ht="15" x14ac:dyDescent="0.2">
      <c r="C178" s="4"/>
      <c r="D178" s="4"/>
      <c r="E178" s="1"/>
      <c r="F178" s="1"/>
      <c r="G178" s="1"/>
      <c r="H178" s="1"/>
      <c r="I178" s="1"/>
      <c r="J178" s="6"/>
    </row>
    <row r="179" spans="3:10" ht="15" x14ac:dyDescent="0.2">
      <c r="C179" s="4"/>
      <c r="D179" s="4"/>
      <c r="E179" s="1"/>
      <c r="F179" s="1"/>
      <c r="G179" s="1"/>
      <c r="H179" s="1"/>
      <c r="I179" s="1"/>
      <c r="J179" s="6"/>
    </row>
    <row r="180" spans="3:10" ht="15" x14ac:dyDescent="0.2">
      <c r="C180" s="4"/>
      <c r="D180" s="4"/>
      <c r="E180" s="1"/>
      <c r="F180" s="1"/>
      <c r="G180" s="1"/>
      <c r="H180" s="1"/>
      <c r="I180" s="1"/>
      <c r="J180" s="6"/>
    </row>
    <row r="181" spans="3:10" ht="15" x14ac:dyDescent="0.2">
      <c r="C181" s="4"/>
      <c r="D181" s="4"/>
      <c r="E181" s="1"/>
      <c r="F181" s="1"/>
      <c r="G181" s="1"/>
      <c r="H181" s="1"/>
      <c r="I181" s="1"/>
      <c r="J181" s="6"/>
    </row>
    <row r="182" spans="3:10" ht="15" x14ac:dyDescent="0.2">
      <c r="C182" s="4"/>
      <c r="D182" s="4"/>
      <c r="E182" s="1"/>
      <c r="F182" s="1"/>
      <c r="G182" s="1"/>
      <c r="H182" s="1"/>
      <c r="I182" s="1"/>
      <c r="J182" s="6"/>
    </row>
    <row r="183" spans="3:10" ht="15" x14ac:dyDescent="0.2">
      <c r="C183" s="4"/>
      <c r="D183" s="4"/>
      <c r="E183" s="1"/>
      <c r="F183" s="1"/>
      <c r="G183" s="1"/>
      <c r="H183" s="1"/>
      <c r="I183" s="1"/>
      <c r="J183" s="6"/>
    </row>
    <row r="184" spans="3:10" ht="15" x14ac:dyDescent="0.2">
      <c r="C184" s="4"/>
      <c r="D184" s="4"/>
      <c r="E184" s="1"/>
      <c r="F184" s="1"/>
      <c r="G184" s="1"/>
      <c r="H184" s="1"/>
      <c r="I184" s="1"/>
      <c r="J184" s="6"/>
    </row>
    <row r="185" spans="3:10" ht="15" x14ac:dyDescent="0.2">
      <c r="C185" s="4"/>
      <c r="D185" s="4"/>
      <c r="E185" s="1"/>
      <c r="F185" s="1"/>
      <c r="G185" s="1"/>
      <c r="H185" s="1"/>
      <c r="I185" s="1"/>
      <c r="J185" s="6"/>
    </row>
    <row r="186" spans="3:10" ht="15" x14ac:dyDescent="0.2">
      <c r="C186" s="4"/>
      <c r="D186" s="4"/>
      <c r="E186" s="1"/>
      <c r="F186" s="1"/>
      <c r="G186" s="1"/>
      <c r="H186" s="1"/>
      <c r="I186" s="1"/>
      <c r="J186" s="6"/>
    </row>
    <row r="187" spans="3:10" ht="15" x14ac:dyDescent="0.2">
      <c r="C187" s="4"/>
      <c r="D187" s="4"/>
      <c r="E187" s="1"/>
      <c r="F187" s="1"/>
      <c r="G187" s="1"/>
      <c r="H187" s="1"/>
      <c r="I187" s="1"/>
      <c r="J187" s="6"/>
    </row>
    <row r="188" spans="3:10" ht="15" x14ac:dyDescent="0.2">
      <c r="C188" s="4"/>
      <c r="D188" s="4"/>
      <c r="E188" s="1"/>
      <c r="F188" s="1"/>
      <c r="G188" s="1"/>
      <c r="H188" s="1"/>
      <c r="I188" s="1"/>
      <c r="J188" s="6"/>
    </row>
    <row r="189" spans="3:10" ht="15" x14ac:dyDescent="0.2">
      <c r="C189" s="4"/>
      <c r="D189" s="4"/>
      <c r="E189" s="1"/>
      <c r="F189" s="1"/>
      <c r="G189" s="1"/>
      <c r="H189" s="1"/>
      <c r="I189" s="1"/>
      <c r="J189" s="6"/>
    </row>
    <row r="190" spans="3:10" ht="15" x14ac:dyDescent="0.2">
      <c r="C190" s="4"/>
      <c r="D190" s="4"/>
      <c r="E190" s="1"/>
      <c r="F190" s="1"/>
      <c r="G190" s="1"/>
      <c r="H190" s="1"/>
      <c r="I190" s="1"/>
      <c r="J190" s="6"/>
    </row>
    <row r="191" spans="3:10" ht="15" x14ac:dyDescent="0.2">
      <c r="C191" s="4"/>
      <c r="D191" s="4"/>
      <c r="E191" s="1"/>
      <c r="F191" s="1"/>
      <c r="G191" s="1"/>
      <c r="H191" s="1"/>
      <c r="I191" s="1"/>
      <c r="J191" s="6"/>
    </row>
    <row r="192" spans="3:10" ht="15" x14ac:dyDescent="0.2">
      <c r="C192" s="4"/>
      <c r="D192" s="4"/>
      <c r="E192" s="1"/>
      <c r="F192" s="1"/>
      <c r="G192" s="1"/>
      <c r="H192" s="1"/>
      <c r="I192" s="1"/>
      <c r="J192" s="6"/>
    </row>
    <row r="193" spans="3:10" ht="15" x14ac:dyDescent="0.2">
      <c r="C193" s="4"/>
      <c r="D193" s="4"/>
      <c r="E193" s="1"/>
      <c r="F193" s="1"/>
      <c r="G193" s="1"/>
      <c r="H193" s="1"/>
      <c r="I193" s="1"/>
      <c r="J193" s="6"/>
    </row>
    <row r="194" spans="3:10" ht="15" x14ac:dyDescent="0.2">
      <c r="C194" s="4"/>
      <c r="D194" s="4"/>
      <c r="E194" s="1"/>
      <c r="F194" s="1"/>
      <c r="G194" s="1"/>
      <c r="H194" s="1"/>
      <c r="I194" s="1"/>
      <c r="J194" s="6"/>
    </row>
    <row r="195" spans="3:10" ht="15" x14ac:dyDescent="0.2">
      <c r="C195" s="4"/>
      <c r="D195" s="4"/>
      <c r="E195" s="1"/>
      <c r="F195" s="1"/>
      <c r="G195" s="1"/>
      <c r="H195" s="1"/>
      <c r="I195" s="1"/>
      <c r="J195" s="6"/>
    </row>
    <row r="196" spans="3:10" ht="15" x14ac:dyDescent="0.2">
      <c r="C196" s="4"/>
      <c r="D196" s="4"/>
      <c r="E196" s="1"/>
      <c r="F196" s="1"/>
      <c r="G196" s="1"/>
      <c r="H196" s="1"/>
      <c r="I196" s="1"/>
      <c r="J196" s="6"/>
    </row>
    <row r="197" spans="3:10" ht="15" x14ac:dyDescent="0.2">
      <c r="C197" s="4"/>
      <c r="D197" s="4"/>
      <c r="E197" s="1"/>
      <c r="F197" s="1"/>
      <c r="G197" s="1"/>
      <c r="H197" s="1"/>
      <c r="I197" s="1"/>
      <c r="J197" s="6"/>
    </row>
    <row r="198" spans="3:10" ht="15" x14ac:dyDescent="0.2">
      <c r="C198" s="4"/>
      <c r="D198" s="4"/>
      <c r="E198" s="1"/>
      <c r="F198" s="1"/>
      <c r="G198" s="1"/>
      <c r="H198" s="1"/>
      <c r="I198" s="1"/>
      <c r="J198" s="6"/>
    </row>
    <row r="199" spans="3:10" ht="15" x14ac:dyDescent="0.2">
      <c r="C199" s="4"/>
      <c r="D199" s="4"/>
      <c r="E199" s="1"/>
      <c r="F199" s="1"/>
      <c r="G199" s="1"/>
      <c r="H199" s="1"/>
      <c r="I199" s="1"/>
      <c r="J199" s="6"/>
    </row>
    <row r="200" spans="3:10" ht="15" x14ac:dyDescent="0.2">
      <c r="C200" s="4"/>
      <c r="D200" s="4"/>
      <c r="E200" s="1"/>
      <c r="F200" s="1"/>
      <c r="G200" s="1"/>
      <c r="H200" s="1"/>
      <c r="I200" s="1"/>
      <c r="J200" s="6"/>
    </row>
    <row r="201" spans="3:10" ht="15" x14ac:dyDescent="0.2">
      <c r="C201" s="4"/>
      <c r="D201" s="4"/>
      <c r="E201" s="1"/>
      <c r="F201" s="1"/>
      <c r="G201" s="1"/>
      <c r="H201" s="1"/>
      <c r="I201" s="1"/>
      <c r="J201" s="6"/>
    </row>
    <row r="202" spans="3:10" ht="15" x14ac:dyDescent="0.2">
      <c r="C202" s="4"/>
      <c r="D202" s="4"/>
      <c r="E202" s="1"/>
      <c r="F202" s="1"/>
      <c r="G202" s="1"/>
      <c r="H202" s="1"/>
      <c r="I202" s="1"/>
      <c r="J202" s="6"/>
    </row>
    <row r="203" spans="3:10" ht="15" x14ac:dyDescent="0.2">
      <c r="C203" s="4"/>
      <c r="D203" s="4"/>
      <c r="E203" s="1"/>
      <c r="F203" s="1"/>
      <c r="G203" s="1"/>
      <c r="H203" s="1"/>
      <c r="I203" s="1"/>
      <c r="J203" s="6"/>
    </row>
    <row r="204" spans="3:10" ht="15" x14ac:dyDescent="0.2">
      <c r="C204" s="4"/>
      <c r="D204" s="4"/>
      <c r="E204" s="1"/>
      <c r="F204" s="1"/>
      <c r="G204" s="1"/>
      <c r="H204" s="1"/>
      <c r="I204" s="1"/>
      <c r="J204" s="6"/>
    </row>
    <row r="205" spans="3:10" ht="15" x14ac:dyDescent="0.2">
      <c r="C205" s="4"/>
      <c r="D205" s="4"/>
      <c r="E205" s="1"/>
      <c r="F205" s="1"/>
      <c r="G205" s="1"/>
      <c r="H205" s="1"/>
      <c r="I205" s="1"/>
      <c r="J205" s="6"/>
    </row>
    <row r="206" spans="3:10" ht="15" x14ac:dyDescent="0.2">
      <c r="C206" s="4"/>
      <c r="D206" s="4"/>
      <c r="E206" s="1"/>
      <c r="F206" s="1"/>
      <c r="G206" s="1"/>
      <c r="H206" s="1"/>
      <c r="I206" s="1"/>
      <c r="J206" s="6"/>
    </row>
    <row r="207" spans="3:10" ht="15" x14ac:dyDescent="0.2">
      <c r="C207" s="4"/>
      <c r="D207" s="4"/>
      <c r="E207" s="1"/>
      <c r="F207" s="1"/>
      <c r="G207" s="1"/>
      <c r="H207" s="1"/>
      <c r="I207" s="1"/>
      <c r="J207" s="6"/>
    </row>
    <row r="208" spans="3:10" ht="15" x14ac:dyDescent="0.2">
      <c r="C208" s="4"/>
      <c r="D208" s="4"/>
      <c r="E208" s="1"/>
      <c r="F208" s="1"/>
      <c r="G208" s="1"/>
      <c r="H208" s="1"/>
      <c r="I208" s="1"/>
      <c r="J208" s="6"/>
    </row>
    <row r="209" spans="3:10" ht="15" x14ac:dyDescent="0.2">
      <c r="C209" s="4"/>
      <c r="D209" s="4"/>
      <c r="E209" s="1"/>
      <c r="F209" s="1"/>
      <c r="G209" s="1"/>
      <c r="H209" s="1"/>
      <c r="I209" s="1"/>
      <c r="J209" s="6"/>
    </row>
    <row r="210" spans="3:10" ht="15" x14ac:dyDescent="0.2">
      <c r="C210" s="4"/>
      <c r="D210" s="4"/>
      <c r="E210" s="1"/>
      <c r="F210" s="1"/>
      <c r="G210" s="1"/>
      <c r="H210" s="1"/>
      <c r="I210" s="1"/>
      <c r="J210" s="6"/>
    </row>
    <row r="211" spans="3:10" ht="15" x14ac:dyDescent="0.2">
      <c r="C211" s="4"/>
      <c r="D211" s="4"/>
      <c r="E211" s="1"/>
      <c r="F211" s="1"/>
      <c r="G211" s="1"/>
      <c r="H211" s="1"/>
      <c r="I211" s="1"/>
      <c r="J211" s="6"/>
    </row>
    <row r="212" spans="3:10" ht="15" x14ac:dyDescent="0.2">
      <c r="C212" s="4"/>
      <c r="D212" s="4"/>
      <c r="E212" s="1"/>
      <c r="F212" s="1"/>
      <c r="G212" s="1"/>
      <c r="H212" s="1"/>
      <c r="I212" s="1"/>
      <c r="J212" s="6"/>
    </row>
    <row r="213" spans="3:10" ht="15" x14ac:dyDescent="0.2">
      <c r="C213" s="4"/>
      <c r="D213" s="4"/>
      <c r="E213" s="1"/>
      <c r="F213" s="1"/>
      <c r="G213" s="1"/>
      <c r="H213" s="1"/>
      <c r="I213" s="1"/>
      <c r="J213" s="6"/>
    </row>
    <row r="214" spans="3:10" ht="15" x14ac:dyDescent="0.2">
      <c r="C214" s="4"/>
      <c r="D214" s="4"/>
      <c r="E214" s="1"/>
      <c r="F214" s="1"/>
      <c r="G214" s="1"/>
      <c r="H214" s="1"/>
      <c r="I214" s="1"/>
      <c r="J214" s="6"/>
    </row>
    <row r="215" spans="3:10" ht="15" x14ac:dyDescent="0.2">
      <c r="C215" s="4"/>
      <c r="D215" s="4"/>
      <c r="E215" s="1"/>
      <c r="F215" s="1"/>
      <c r="G215" s="1"/>
      <c r="H215" s="1"/>
      <c r="I215" s="1"/>
      <c r="J215" s="6"/>
    </row>
    <row r="216" spans="3:10" ht="15" x14ac:dyDescent="0.2">
      <c r="C216" s="4"/>
      <c r="D216" s="4"/>
      <c r="E216" s="1"/>
      <c r="F216" s="1"/>
      <c r="G216" s="1"/>
      <c r="H216" s="1"/>
      <c r="I216" s="1"/>
      <c r="J216" s="6"/>
    </row>
    <row r="217" spans="3:10" ht="15" x14ac:dyDescent="0.2">
      <c r="C217" s="4"/>
      <c r="D217" s="4"/>
      <c r="E217" s="1"/>
      <c r="F217" s="1"/>
      <c r="G217" s="1"/>
      <c r="H217" s="1"/>
      <c r="I217" s="1"/>
      <c r="J217" s="6"/>
    </row>
    <row r="218" spans="3:10" ht="15" x14ac:dyDescent="0.2">
      <c r="C218" s="4"/>
      <c r="D218" s="4"/>
      <c r="E218" s="1"/>
      <c r="F218" s="1"/>
      <c r="G218" s="1"/>
      <c r="H218" s="1"/>
      <c r="I218" s="1"/>
      <c r="J218" s="6"/>
    </row>
    <row r="219" spans="3:10" ht="15" x14ac:dyDescent="0.2">
      <c r="C219" s="4"/>
      <c r="D219" s="4"/>
      <c r="E219" s="1"/>
      <c r="F219" s="1"/>
      <c r="G219" s="1"/>
      <c r="H219" s="1"/>
      <c r="I219" s="1"/>
      <c r="J219" s="6"/>
    </row>
    <row r="220" spans="3:10" ht="15" x14ac:dyDescent="0.2">
      <c r="C220" s="4"/>
      <c r="D220" s="4"/>
      <c r="E220" s="1"/>
      <c r="F220" s="1"/>
      <c r="G220" s="1"/>
      <c r="H220" s="1"/>
      <c r="I220" s="1"/>
      <c r="J220" s="6"/>
    </row>
    <row r="221" spans="3:10" ht="15" x14ac:dyDescent="0.2">
      <c r="C221" s="4"/>
      <c r="D221" s="4"/>
      <c r="E221" s="1"/>
      <c r="F221" s="1"/>
      <c r="G221" s="1"/>
      <c r="H221" s="1"/>
      <c r="I221" s="1"/>
      <c r="J221" s="6"/>
    </row>
    <row r="222" spans="3:10" ht="15" x14ac:dyDescent="0.2">
      <c r="C222" s="4"/>
      <c r="D222" s="4"/>
      <c r="E222" s="1"/>
      <c r="F222" s="1"/>
      <c r="G222" s="1"/>
      <c r="H222" s="1"/>
      <c r="I222" s="1"/>
      <c r="J222" s="6"/>
    </row>
    <row r="223" spans="3:10" ht="15" x14ac:dyDescent="0.2">
      <c r="C223" s="4"/>
      <c r="D223" s="4"/>
      <c r="E223" s="1"/>
      <c r="F223" s="1"/>
      <c r="G223" s="1"/>
      <c r="H223" s="1"/>
      <c r="I223" s="1"/>
      <c r="J223" s="6"/>
    </row>
    <row r="224" spans="3:10" ht="15" x14ac:dyDescent="0.2">
      <c r="C224" s="4"/>
      <c r="D224" s="4"/>
      <c r="E224" s="1"/>
      <c r="F224" s="1"/>
      <c r="G224" s="1"/>
      <c r="H224" s="1"/>
      <c r="I224" s="1"/>
      <c r="J224" s="6"/>
    </row>
    <row r="225" spans="3:10" ht="15" x14ac:dyDescent="0.2">
      <c r="C225" s="4"/>
      <c r="D225" s="4"/>
      <c r="E225" s="1"/>
      <c r="F225" s="1"/>
      <c r="G225" s="1"/>
      <c r="H225" s="1"/>
      <c r="I225" s="1"/>
      <c r="J225" s="6"/>
    </row>
    <row r="226" spans="3:10" ht="15" x14ac:dyDescent="0.2">
      <c r="C226" s="4"/>
      <c r="D226" s="4"/>
      <c r="E226" s="1"/>
      <c r="F226" s="1"/>
      <c r="G226" s="1"/>
      <c r="H226" s="1"/>
      <c r="I226" s="1"/>
      <c r="J226" s="6"/>
    </row>
    <row r="227" spans="3:10" ht="15" x14ac:dyDescent="0.2">
      <c r="C227" s="4"/>
      <c r="D227" s="4"/>
      <c r="E227" s="1"/>
      <c r="F227" s="1"/>
      <c r="G227" s="1"/>
      <c r="H227" s="1"/>
      <c r="I227" s="1"/>
      <c r="J227" s="6"/>
    </row>
    <row r="228" spans="3:10" ht="15" x14ac:dyDescent="0.2">
      <c r="C228" s="4"/>
      <c r="D228" s="4"/>
      <c r="E228" s="1"/>
      <c r="F228" s="1"/>
      <c r="G228" s="1"/>
      <c r="H228" s="1"/>
      <c r="I228" s="1"/>
      <c r="J228" s="6"/>
    </row>
    <row r="229" spans="3:10" ht="15" x14ac:dyDescent="0.2">
      <c r="C229" s="4"/>
      <c r="D229" s="4"/>
      <c r="E229" s="1"/>
      <c r="F229" s="1"/>
      <c r="G229" s="1"/>
      <c r="H229" s="1"/>
      <c r="I229" s="1"/>
      <c r="J229" s="6"/>
    </row>
    <row r="230" spans="3:10" ht="15" x14ac:dyDescent="0.2">
      <c r="C230" s="4"/>
      <c r="D230" s="4"/>
      <c r="E230" s="1"/>
      <c r="F230" s="1"/>
      <c r="G230" s="1"/>
      <c r="H230" s="1"/>
      <c r="I230" s="1"/>
      <c r="J230" s="6"/>
    </row>
    <row r="231" spans="3:10" ht="15" x14ac:dyDescent="0.2">
      <c r="C231" s="4"/>
      <c r="D231" s="4"/>
      <c r="E231" s="1"/>
      <c r="F231" s="1"/>
      <c r="G231" s="1"/>
      <c r="H231" s="1"/>
      <c r="I231" s="1"/>
      <c r="J231" s="6"/>
    </row>
    <row r="232" spans="3:10" ht="15" x14ac:dyDescent="0.2">
      <c r="C232" s="4"/>
      <c r="D232" s="4"/>
      <c r="E232" s="1"/>
      <c r="F232" s="1"/>
      <c r="G232" s="1"/>
      <c r="H232" s="1"/>
      <c r="I232" s="1"/>
      <c r="J232" s="6"/>
    </row>
    <row r="233" spans="3:10" ht="15" x14ac:dyDescent="0.2">
      <c r="C233" s="4"/>
      <c r="D233" s="4"/>
      <c r="E233" s="1"/>
      <c r="F233" s="1"/>
      <c r="G233" s="1"/>
      <c r="H233" s="1"/>
      <c r="I233" s="1"/>
      <c r="J233" s="6"/>
    </row>
    <row r="234" spans="3:10" ht="15" x14ac:dyDescent="0.2">
      <c r="C234" s="4"/>
      <c r="D234" s="4"/>
      <c r="E234" s="1"/>
      <c r="F234" s="1"/>
      <c r="G234" s="1"/>
      <c r="H234" s="1"/>
      <c r="I234" s="1"/>
      <c r="J234" s="6"/>
    </row>
    <row r="235" spans="3:10" ht="15" x14ac:dyDescent="0.2">
      <c r="C235" s="4"/>
      <c r="D235" s="4"/>
      <c r="E235" s="1"/>
      <c r="F235" s="1"/>
      <c r="G235" s="1"/>
      <c r="H235" s="1"/>
      <c r="I235" s="1"/>
      <c r="J235" s="6"/>
    </row>
  </sheetData>
  <autoFilter ref="C4:J170"/>
  <mergeCells count="1">
    <mergeCell ref="C3:J3"/>
  </mergeCells>
  <pageMargins left="0.19685039370078741" right="0.19685039370078741" top="0.39370078740157483" bottom="0.39370078740157483" header="0" footer="0"/>
  <pageSetup paperSize="9" scale="49" fitToHeight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V185"/>
  <sheetViews>
    <sheetView tabSelected="1" zoomScale="80" zoomScaleNormal="80" workbookViewId="0">
      <pane ySplit="2" topLeftCell="A19" activePane="bottomLeft" state="frozen"/>
      <selection pane="bottomLeft" activeCell="S28" sqref="S28"/>
    </sheetView>
  </sheetViews>
  <sheetFormatPr defaultColWidth="14.42578125" defaultRowHeight="15.75" customHeight="1" x14ac:dyDescent="0.2"/>
  <cols>
    <col min="1" max="1" width="2.7109375" customWidth="1"/>
    <col min="2" max="2" width="14.28515625" bestFit="1" customWidth="1"/>
    <col min="3" max="3" width="16.140625" style="5" customWidth="1"/>
    <col min="4" max="4" width="8.140625" style="5" customWidth="1"/>
    <col min="5" max="5" width="19.5703125" hidden="1" customWidth="1"/>
    <col min="6" max="6" width="60.140625" customWidth="1"/>
    <col min="7" max="7" width="20.42578125" style="5" bestFit="1" customWidth="1"/>
    <col min="8" max="8" width="23.85546875" style="5" bestFit="1" customWidth="1"/>
    <col min="9" max="9" width="55.28515625" hidden="1" customWidth="1"/>
    <col min="10" max="10" width="14" style="5" customWidth="1"/>
    <col min="11" max="13" width="15.28515625" bestFit="1" customWidth="1"/>
    <col min="14" max="17" width="16.85546875" bestFit="1" customWidth="1"/>
    <col min="18" max="19" width="15.28515625" bestFit="1" customWidth="1"/>
    <col min="20" max="20" width="14.42578125" customWidth="1"/>
    <col min="21" max="22" width="0.7109375" customWidth="1"/>
  </cols>
  <sheetData>
    <row r="1" spans="2:22" ht="15.75" customHeight="1" x14ac:dyDescent="0.2">
      <c r="C1" s="68"/>
      <c r="D1" s="68"/>
      <c r="E1" s="68"/>
      <c r="F1" s="68"/>
      <c r="G1" s="68"/>
      <c r="H1" s="68"/>
      <c r="I1" s="68"/>
      <c r="J1" s="68"/>
    </row>
    <row r="2" spans="2:22" ht="29.25" customHeight="1" x14ac:dyDescent="0.2">
      <c r="B2" s="34" t="s">
        <v>551</v>
      </c>
      <c r="C2" s="35" t="s">
        <v>0</v>
      </c>
      <c r="D2" s="35" t="s">
        <v>1</v>
      </c>
      <c r="E2" s="39" t="s">
        <v>2</v>
      </c>
      <c r="F2" s="35" t="s">
        <v>3</v>
      </c>
      <c r="G2" s="35" t="s">
        <v>4</v>
      </c>
      <c r="H2" s="35" t="s">
        <v>5</v>
      </c>
      <c r="I2" s="39" t="s">
        <v>6</v>
      </c>
      <c r="J2" s="36" t="s">
        <v>7</v>
      </c>
      <c r="K2" s="53">
        <v>43466</v>
      </c>
      <c r="L2" s="53">
        <v>43497</v>
      </c>
      <c r="M2" s="53">
        <v>43525</v>
      </c>
      <c r="N2" s="53">
        <v>43556</v>
      </c>
      <c r="O2" s="53">
        <v>43586</v>
      </c>
      <c r="P2" s="53">
        <v>43617</v>
      </c>
      <c r="Q2" s="53">
        <v>43647</v>
      </c>
      <c r="R2" s="53">
        <v>43678</v>
      </c>
      <c r="S2" s="53">
        <v>43709</v>
      </c>
      <c r="T2" s="53">
        <v>43739</v>
      </c>
      <c r="U2" s="53">
        <v>43770</v>
      </c>
      <c r="V2" s="53">
        <v>43800</v>
      </c>
    </row>
    <row r="3" spans="2:22" ht="36" customHeight="1" x14ac:dyDescent="0.2">
      <c r="B3" s="19"/>
      <c r="C3" s="16" t="s">
        <v>226</v>
      </c>
      <c r="D3" s="16">
        <v>2017</v>
      </c>
      <c r="E3" s="38"/>
      <c r="F3" s="7" t="s">
        <v>306</v>
      </c>
      <c r="G3" s="16" t="s">
        <v>307</v>
      </c>
      <c r="H3" s="16" t="s">
        <v>901</v>
      </c>
      <c r="I3" s="38"/>
      <c r="J3" s="23" t="s">
        <v>846</v>
      </c>
      <c r="K3" s="41">
        <f>3539.05</f>
        <v>3539.05</v>
      </c>
      <c r="L3" s="41">
        <v>3448.56</v>
      </c>
      <c r="M3" s="41">
        <f>3721.64+3578.72</f>
        <v>7300.36</v>
      </c>
      <c r="N3" s="41">
        <v>0</v>
      </c>
      <c r="O3" s="41">
        <f>3137.3</f>
        <v>3137.3</v>
      </c>
      <c r="P3" s="41">
        <f>3174.74</f>
        <v>3174.74</v>
      </c>
      <c r="Q3" s="41">
        <f>3331.25</f>
        <v>3331.25</v>
      </c>
      <c r="R3" s="41">
        <v>2925.86</v>
      </c>
      <c r="S3" s="41"/>
      <c r="T3" s="41"/>
      <c r="U3" s="41"/>
      <c r="V3" s="41"/>
    </row>
    <row r="4" spans="2:22" ht="36" customHeight="1" x14ac:dyDescent="0.2">
      <c r="B4" s="19"/>
      <c r="C4" s="16" t="s">
        <v>350</v>
      </c>
      <c r="D4" s="16">
        <v>2017</v>
      </c>
      <c r="E4" s="38"/>
      <c r="F4" s="8" t="s">
        <v>330</v>
      </c>
      <c r="G4" s="16" t="s">
        <v>328</v>
      </c>
      <c r="H4" s="16" t="s">
        <v>349</v>
      </c>
      <c r="I4" s="38"/>
      <c r="J4" s="23" t="s">
        <v>721</v>
      </c>
      <c r="K4" s="41">
        <f>17764.16+17764.16</f>
        <v>35528.32</v>
      </c>
      <c r="L4" s="41">
        <v>17764.16</v>
      </c>
      <c r="M4" s="41">
        <v>17764.16</v>
      </c>
      <c r="N4" s="41">
        <f>35000+17764.16</f>
        <v>52764.160000000003</v>
      </c>
      <c r="O4" s="41">
        <v>17764.16</v>
      </c>
      <c r="P4" s="41">
        <v>0</v>
      </c>
      <c r="Q4" s="41">
        <f>14562.5+20750+7375+12750+17764.16+17764.16</f>
        <v>90965.82</v>
      </c>
      <c r="R4" s="41">
        <v>17764.16</v>
      </c>
      <c r="S4" s="41">
        <v>17764.16</v>
      </c>
      <c r="T4" s="41"/>
      <c r="U4" s="41"/>
      <c r="V4" s="41"/>
    </row>
    <row r="5" spans="2:22" ht="36" customHeight="1" x14ac:dyDescent="0.2">
      <c r="B5" s="19"/>
      <c r="C5" s="16" t="s">
        <v>352</v>
      </c>
      <c r="D5" s="16">
        <v>2017</v>
      </c>
      <c r="E5" s="38"/>
      <c r="F5" s="7" t="s">
        <v>353</v>
      </c>
      <c r="G5" s="16" t="s">
        <v>354</v>
      </c>
      <c r="H5" s="16" t="s">
        <v>355</v>
      </c>
      <c r="I5" s="38"/>
      <c r="J5" s="23" t="s">
        <v>721</v>
      </c>
      <c r="K5" s="41">
        <f>330499.9</f>
        <v>330499.90000000002</v>
      </c>
      <c r="L5" s="42">
        <v>0</v>
      </c>
      <c r="M5" s="41">
        <v>0</v>
      </c>
      <c r="N5" s="41">
        <v>0</v>
      </c>
      <c r="O5" s="41">
        <v>0</v>
      </c>
      <c r="P5" s="41">
        <v>0</v>
      </c>
      <c r="Q5" s="41">
        <v>0</v>
      </c>
      <c r="R5" s="41"/>
      <c r="S5" s="41"/>
      <c r="T5" s="41"/>
      <c r="U5" s="41"/>
      <c r="V5" s="41"/>
    </row>
    <row r="6" spans="2:22" ht="36" customHeight="1" x14ac:dyDescent="0.2">
      <c r="B6" s="44" t="s">
        <v>776</v>
      </c>
      <c r="C6" s="16" t="s">
        <v>720</v>
      </c>
      <c r="D6" s="16">
        <v>2019</v>
      </c>
      <c r="E6" s="38"/>
      <c r="F6" s="7" t="s">
        <v>367</v>
      </c>
      <c r="G6" s="16" t="s">
        <v>347</v>
      </c>
      <c r="H6" s="16" t="s">
        <v>348</v>
      </c>
      <c r="I6" s="38"/>
      <c r="J6" s="23" t="s">
        <v>721</v>
      </c>
      <c r="K6" s="42" t="s">
        <v>245</v>
      </c>
      <c r="L6" s="42" t="s">
        <v>245</v>
      </c>
      <c r="M6" s="42" t="s">
        <v>245</v>
      </c>
      <c r="N6" s="42" t="s">
        <v>245</v>
      </c>
      <c r="O6" s="42" t="s">
        <v>245</v>
      </c>
      <c r="P6" s="41" t="s">
        <v>245</v>
      </c>
      <c r="Q6" s="41" t="s">
        <v>245</v>
      </c>
      <c r="R6" s="41" t="s">
        <v>245</v>
      </c>
      <c r="S6" s="41"/>
      <c r="T6" s="41"/>
      <c r="U6" s="41"/>
      <c r="V6" s="41"/>
    </row>
    <row r="7" spans="2:22" ht="36" customHeight="1" x14ac:dyDescent="0.2">
      <c r="B7" s="43"/>
      <c r="C7" s="16" t="s">
        <v>570</v>
      </c>
      <c r="D7" s="16">
        <v>2018</v>
      </c>
      <c r="E7" s="38"/>
      <c r="F7" s="7" t="s">
        <v>571</v>
      </c>
      <c r="G7" s="16" t="s">
        <v>572</v>
      </c>
      <c r="H7" s="16" t="s">
        <v>573</v>
      </c>
      <c r="I7" s="38"/>
      <c r="J7" s="23" t="s">
        <v>673</v>
      </c>
      <c r="K7" s="41">
        <v>2950</v>
      </c>
      <c r="L7" s="41">
        <v>7683</v>
      </c>
      <c r="M7" s="41">
        <v>0</v>
      </c>
      <c r="N7" s="41">
        <v>0</v>
      </c>
      <c r="O7" s="41">
        <v>0</v>
      </c>
      <c r="P7" s="41">
        <v>0</v>
      </c>
      <c r="Q7" s="41">
        <v>0</v>
      </c>
      <c r="R7" s="41" t="s">
        <v>245</v>
      </c>
      <c r="S7" s="41"/>
      <c r="T7" s="41"/>
      <c r="U7" s="41"/>
      <c r="V7" s="41"/>
    </row>
    <row r="8" spans="2:22" ht="36" customHeight="1" x14ac:dyDescent="0.2">
      <c r="B8" s="43"/>
      <c r="C8" s="16" t="s">
        <v>659</v>
      </c>
      <c r="D8" s="16">
        <v>2018</v>
      </c>
      <c r="E8" s="38"/>
      <c r="F8" s="7" t="s">
        <v>660</v>
      </c>
      <c r="G8" s="16" t="s">
        <v>661</v>
      </c>
      <c r="H8" s="16" t="s">
        <v>662</v>
      </c>
      <c r="I8" s="38"/>
      <c r="J8" s="23" t="s">
        <v>852</v>
      </c>
      <c r="K8" s="59" t="s">
        <v>245</v>
      </c>
      <c r="L8" s="59" t="s">
        <v>245</v>
      </c>
      <c r="M8" s="59" t="s">
        <v>245</v>
      </c>
      <c r="N8" s="59" t="s">
        <v>245</v>
      </c>
      <c r="O8" s="59" t="s">
        <v>245</v>
      </c>
      <c r="P8" s="59" t="s">
        <v>245</v>
      </c>
      <c r="Q8" s="59" t="s">
        <v>245</v>
      </c>
      <c r="R8" s="41"/>
      <c r="S8" s="41"/>
      <c r="T8" s="41"/>
      <c r="U8" s="41"/>
      <c r="V8" s="41"/>
    </row>
    <row r="9" spans="2:22" ht="36" customHeight="1" x14ac:dyDescent="0.2">
      <c r="B9" s="44" t="s">
        <v>879</v>
      </c>
      <c r="C9" s="16" t="s">
        <v>813</v>
      </c>
      <c r="D9" s="16">
        <v>2019</v>
      </c>
      <c r="E9" s="38"/>
      <c r="F9" s="7" t="s">
        <v>814</v>
      </c>
      <c r="G9" s="16" t="s">
        <v>815</v>
      </c>
      <c r="H9" s="16" t="s">
        <v>816</v>
      </c>
      <c r="I9" s="38"/>
      <c r="J9" s="23" t="s">
        <v>755</v>
      </c>
      <c r="K9" s="41">
        <v>0</v>
      </c>
      <c r="L9" s="41">
        <v>0</v>
      </c>
      <c r="M9" s="41">
        <v>0</v>
      </c>
      <c r="N9" s="41">
        <v>0</v>
      </c>
      <c r="O9" s="41">
        <f>815405.85</f>
        <v>815405.85</v>
      </c>
      <c r="P9" s="41">
        <v>0</v>
      </c>
      <c r="Q9" s="41">
        <v>0</v>
      </c>
      <c r="R9" s="41" t="s">
        <v>245</v>
      </c>
      <c r="S9" s="41"/>
      <c r="T9" s="41"/>
      <c r="U9" s="41"/>
      <c r="V9" s="41"/>
    </row>
    <row r="10" spans="2:22" ht="36" customHeight="1" x14ac:dyDescent="0.2">
      <c r="B10" s="44"/>
      <c r="C10" s="16">
        <v>2019</v>
      </c>
      <c r="D10" s="16">
        <v>2019</v>
      </c>
      <c r="E10" s="38"/>
      <c r="F10" s="7" t="s">
        <v>920</v>
      </c>
      <c r="G10" s="16" t="s">
        <v>921</v>
      </c>
      <c r="H10" s="16" t="s">
        <v>922</v>
      </c>
      <c r="I10" s="38"/>
      <c r="J10" s="23" t="s">
        <v>846</v>
      </c>
      <c r="K10" s="41" t="s">
        <v>245</v>
      </c>
      <c r="L10" s="41" t="s">
        <v>245</v>
      </c>
      <c r="M10" s="41" t="s">
        <v>245</v>
      </c>
      <c r="N10" s="41" t="s">
        <v>245</v>
      </c>
      <c r="O10" s="41" t="s">
        <v>245</v>
      </c>
      <c r="P10" s="41" t="s">
        <v>245</v>
      </c>
      <c r="Q10" s="41" t="s">
        <v>245</v>
      </c>
      <c r="R10" s="63"/>
      <c r="S10" s="41"/>
      <c r="T10" s="41"/>
      <c r="U10" s="41"/>
      <c r="V10" s="41"/>
    </row>
    <row r="11" spans="2:22" ht="36" customHeight="1" x14ac:dyDescent="0.2">
      <c r="B11" s="43"/>
      <c r="C11" s="16" t="s">
        <v>825</v>
      </c>
      <c r="D11" s="16">
        <v>2019</v>
      </c>
      <c r="E11" s="38"/>
      <c r="F11" s="7" t="s">
        <v>817</v>
      </c>
      <c r="G11" s="16"/>
      <c r="H11" s="16" t="s">
        <v>818</v>
      </c>
      <c r="I11" s="38"/>
      <c r="J11" s="23" t="s">
        <v>733</v>
      </c>
      <c r="K11" s="41">
        <v>23634.09</v>
      </c>
      <c r="L11" s="41">
        <v>0</v>
      </c>
      <c r="M11" s="41">
        <v>0</v>
      </c>
      <c r="N11" s="41">
        <v>0</v>
      </c>
      <c r="O11" s="41">
        <v>23634.09</v>
      </c>
      <c r="P11" s="41">
        <v>0</v>
      </c>
      <c r="Q11" s="41">
        <v>0</v>
      </c>
      <c r="R11" s="41"/>
      <c r="S11" s="41"/>
      <c r="T11" s="41"/>
      <c r="U11" s="41"/>
      <c r="V11" s="41"/>
    </row>
    <row r="12" spans="2:22" ht="36" customHeight="1" x14ac:dyDescent="0.2">
      <c r="B12" s="44" t="s">
        <v>879</v>
      </c>
      <c r="C12" s="16" t="s">
        <v>819</v>
      </c>
      <c r="D12" s="16">
        <v>2019</v>
      </c>
      <c r="E12" s="38"/>
      <c r="F12" s="7" t="s">
        <v>820</v>
      </c>
      <c r="G12" s="16" t="s">
        <v>821</v>
      </c>
      <c r="H12" s="16" t="s">
        <v>822</v>
      </c>
      <c r="I12" s="38"/>
      <c r="J12" s="23" t="s">
        <v>733</v>
      </c>
      <c r="K12" s="41" t="s">
        <v>245</v>
      </c>
      <c r="L12" s="41" t="s">
        <v>245</v>
      </c>
      <c r="M12" s="41">
        <v>154872</v>
      </c>
      <c r="N12" s="41" t="s">
        <v>245</v>
      </c>
      <c r="O12" s="41" t="s">
        <v>245</v>
      </c>
      <c r="P12" s="41" t="s">
        <v>245</v>
      </c>
      <c r="Q12" s="41" t="s">
        <v>245</v>
      </c>
      <c r="R12" s="41" t="s">
        <v>245</v>
      </c>
      <c r="S12" s="41"/>
      <c r="T12" s="41"/>
      <c r="U12" s="41"/>
      <c r="V12" s="41"/>
    </row>
    <row r="13" spans="2:22" ht="36" customHeight="1" x14ac:dyDescent="0.2">
      <c r="B13" s="44" t="s">
        <v>879</v>
      </c>
      <c r="C13" s="16" t="s">
        <v>663</v>
      </c>
      <c r="D13" s="16">
        <v>2018</v>
      </c>
      <c r="E13" s="38"/>
      <c r="F13" s="7" t="s">
        <v>676</v>
      </c>
      <c r="G13" s="16" t="s">
        <v>664</v>
      </c>
      <c r="H13" s="16" t="s">
        <v>665</v>
      </c>
      <c r="I13" s="38"/>
      <c r="J13" s="23" t="s">
        <v>673</v>
      </c>
      <c r="K13" s="41" t="s">
        <v>245</v>
      </c>
      <c r="L13" s="59" t="s">
        <v>245</v>
      </c>
      <c r="M13" s="41" t="s">
        <v>245</v>
      </c>
      <c r="N13" s="41" t="s">
        <v>245</v>
      </c>
      <c r="O13" s="41" t="s">
        <v>245</v>
      </c>
      <c r="P13" s="41" t="s">
        <v>245</v>
      </c>
      <c r="Q13" s="41" t="s">
        <v>245</v>
      </c>
      <c r="R13" s="41" t="s">
        <v>245</v>
      </c>
      <c r="S13" s="41"/>
      <c r="T13" s="41"/>
      <c r="U13" s="41"/>
      <c r="V13" s="41"/>
    </row>
    <row r="14" spans="2:22" ht="36" customHeight="1" x14ac:dyDescent="0.2">
      <c r="B14" s="44"/>
      <c r="C14" s="16"/>
      <c r="D14" s="16"/>
      <c r="E14" s="38"/>
      <c r="F14" s="7" t="s">
        <v>929</v>
      </c>
      <c r="G14" s="16" t="s">
        <v>664</v>
      </c>
      <c r="H14" s="16" t="s">
        <v>930</v>
      </c>
      <c r="I14" s="38"/>
      <c r="J14" s="23"/>
      <c r="K14" s="41"/>
      <c r="L14" s="59"/>
      <c r="M14" s="41"/>
      <c r="N14" s="41">
        <v>7793.25</v>
      </c>
      <c r="O14" s="41"/>
      <c r="P14" s="41"/>
      <c r="Q14" s="41"/>
      <c r="R14" s="41"/>
      <c r="S14" s="41"/>
      <c r="T14" s="41"/>
      <c r="U14" s="41"/>
      <c r="V14" s="41"/>
    </row>
    <row r="15" spans="2:22" ht="36" customHeight="1" x14ac:dyDescent="0.2">
      <c r="B15" s="44" t="s">
        <v>879</v>
      </c>
      <c r="C15" s="16" t="s">
        <v>752</v>
      </c>
      <c r="D15" s="16">
        <v>2019</v>
      </c>
      <c r="E15" s="38"/>
      <c r="F15" s="7" t="s">
        <v>753</v>
      </c>
      <c r="G15" s="16" t="s">
        <v>664</v>
      </c>
      <c r="H15" s="16" t="s">
        <v>754</v>
      </c>
      <c r="I15" s="38"/>
      <c r="J15" s="23" t="s">
        <v>755</v>
      </c>
      <c r="K15" s="41" t="s">
        <v>245</v>
      </c>
      <c r="L15" s="59" t="s">
        <v>245</v>
      </c>
      <c r="M15" s="41" t="s">
        <v>245</v>
      </c>
      <c r="N15" s="41" t="s">
        <v>245</v>
      </c>
      <c r="O15" s="41">
        <f>886905</f>
        <v>886905</v>
      </c>
      <c r="P15" s="41" t="s">
        <v>245</v>
      </c>
      <c r="Q15" s="41" t="s">
        <v>245</v>
      </c>
      <c r="R15" s="41" t="s">
        <v>245</v>
      </c>
      <c r="S15" s="41"/>
      <c r="T15" s="41"/>
      <c r="U15" s="41"/>
      <c r="V15" s="41"/>
    </row>
    <row r="16" spans="2:22" ht="36" customHeight="1" x14ac:dyDescent="0.2">
      <c r="B16" s="44"/>
      <c r="C16" s="16"/>
      <c r="D16" s="16" t="s">
        <v>927</v>
      </c>
      <c r="E16" s="38"/>
      <c r="F16" s="7" t="s">
        <v>926</v>
      </c>
      <c r="G16" s="16" t="s">
        <v>664</v>
      </c>
      <c r="H16" s="16" t="s">
        <v>928</v>
      </c>
      <c r="I16" s="38"/>
      <c r="J16" s="23"/>
      <c r="K16" s="41"/>
      <c r="L16" s="59"/>
      <c r="M16" s="41"/>
      <c r="N16" s="41"/>
      <c r="O16" s="41"/>
      <c r="P16" s="41"/>
      <c r="Q16" s="41"/>
      <c r="R16" s="41"/>
      <c r="S16" s="41">
        <v>9190</v>
      </c>
      <c r="T16" s="41"/>
      <c r="U16" s="41"/>
      <c r="V16" s="41"/>
    </row>
    <row r="17" spans="2:22" ht="36" customHeight="1" x14ac:dyDescent="0.2">
      <c r="B17" s="44"/>
      <c r="C17" s="16" t="s">
        <v>840</v>
      </c>
      <c r="D17" s="16">
        <v>2019</v>
      </c>
      <c r="E17" s="38"/>
      <c r="F17" s="7" t="s">
        <v>443</v>
      </c>
      <c r="G17" s="16" t="s">
        <v>302</v>
      </c>
      <c r="H17" s="16" t="s">
        <v>841</v>
      </c>
      <c r="I17" s="38"/>
      <c r="J17" s="23" t="s">
        <v>842</v>
      </c>
      <c r="K17" s="41" t="s">
        <v>245</v>
      </c>
      <c r="L17" s="59" t="s">
        <v>245</v>
      </c>
      <c r="M17" s="41" t="s">
        <v>245</v>
      </c>
      <c r="N17" s="41" t="s">
        <v>245</v>
      </c>
      <c r="O17" s="41" t="s">
        <v>245</v>
      </c>
      <c r="P17" s="41" t="s">
        <v>245</v>
      </c>
      <c r="Q17" s="41" t="s">
        <v>245</v>
      </c>
      <c r="R17" s="41"/>
      <c r="S17" s="41">
        <v>60000</v>
      </c>
      <c r="T17" s="41"/>
      <c r="U17" s="41"/>
      <c r="V17" s="41"/>
    </row>
    <row r="18" spans="2:22" ht="36" customHeight="1" x14ac:dyDescent="0.2">
      <c r="B18" s="44"/>
      <c r="C18" s="16" t="s">
        <v>844</v>
      </c>
      <c r="D18" s="16">
        <v>2019</v>
      </c>
      <c r="E18" s="38"/>
      <c r="F18" s="7" t="s">
        <v>843</v>
      </c>
      <c r="G18" s="16" t="s">
        <v>847</v>
      </c>
      <c r="H18" s="16" t="s">
        <v>845</v>
      </c>
      <c r="I18" s="38"/>
      <c r="J18" s="23" t="s">
        <v>846</v>
      </c>
      <c r="K18" s="41" t="s">
        <v>245</v>
      </c>
      <c r="L18" s="59" t="s">
        <v>245</v>
      </c>
      <c r="M18" s="41" t="s">
        <v>245</v>
      </c>
      <c r="N18" s="41" t="s">
        <v>245</v>
      </c>
      <c r="O18" s="41" t="s">
        <v>245</v>
      </c>
      <c r="P18" s="41" t="s">
        <v>245</v>
      </c>
      <c r="Q18" s="41" t="s">
        <v>245</v>
      </c>
      <c r="R18" s="41"/>
      <c r="S18" s="41"/>
      <c r="T18" s="41"/>
      <c r="U18" s="41"/>
      <c r="V18" s="41"/>
    </row>
    <row r="19" spans="2:22" ht="36" customHeight="1" x14ac:dyDescent="0.2">
      <c r="B19" s="44" t="s">
        <v>879</v>
      </c>
      <c r="C19" s="16" t="s">
        <v>931</v>
      </c>
      <c r="D19" s="16">
        <v>2019</v>
      </c>
      <c r="E19" s="38"/>
      <c r="F19" s="7" t="s">
        <v>932</v>
      </c>
      <c r="G19" s="16" t="s">
        <v>847</v>
      </c>
      <c r="H19" s="16" t="s">
        <v>933</v>
      </c>
      <c r="I19" s="38"/>
      <c r="J19" s="23" t="s">
        <v>846</v>
      </c>
      <c r="K19" s="41"/>
      <c r="L19" s="59"/>
      <c r="M19" s="41"/>
      <c r="N19" s="41"/>
      <c r="O19" s="41"/>
      <c r="P19" s="41"/>
      <c r="Q19" s="41"/>
      <c r="R19" s="41"/>
      <c r="S19" s="41">
        <v>54340</v>
      </c>
      <c r="T19" s="41"/>
      <c r="U19" s="41"/>
      <c r="V19" s="41"/>
    </row>
    <row r="20" spans="2:22" ht="36" customHeight="1" x14ac:dyDescent="0.2">
      <c r="B20" s="44" t="s">
        <v>879</v>
      </c>
      <c r="C20" s="16" t="s">
        <v>848</v>
      </c>
      <c r="D20" s="16">
        <v>2019</v>
      </c>
      <c r="E20" s="38"/>
      <c r="F20" s="7" t="s">
        <v>849</v>
      </c>
      <c r="G20" s="16" t="s">
        <v>850</v>
      </c>
      <c r="H20" s="16" t="s">
        <v>851</v>
      </c>
      <c r="I20" s="38"/>
      <c r="J20" s="23" t="s">
        <v>852</v>
      </c>
      <c r="K20" s="41" t="s">
        <v>245</v>
      </c>
      <c r="L20" s="59" t="s">
        <v>245</v>
      </c>
      <c r="M20" s="41" t="s">
        <v>245</v>
      </c>
      <c r="N20" s="41" t="s">
        <v>245</v>
      </c>
      <c r="O20" s="41" t="s">
        <v>245</v>
      </c>
      <c r="P20" s="41">
        <f>158400</f>
        <v>158400</v>
      </c>
      <c r="Q20" s="41" t="s">
        <v>245</v>
      </c>
      <c r="R20" s="41" t="s">
        <v>245</v>
      </c>
      <c r="S20" s="41"/>
      <c r="T20" s="41"/>
      <c r="U20" s="41"/>
      <c r="V20" s="41"/>
    </row>
    <row r="21" spans="2:22" ht="36" customHeight="1" x14ac:dyDescent="0.2">
      <c r="B21" s="44" t="s">
        <v>879</v>
      </c>
      <c r="C21" s="16" t="s">
        <v>854</v>
      </c>
      <c r="D21" s="16">
        <v>2019</v>
      </c>
      <c r="E21" s="38"/>
      <c r="F21" s="7" t="s">
        <v>855</v>
      </c>
      <c r="G21" s="16" t="s">
        <v>466</v>
      </c>
      <c r="H21" s="16" t="s">
        <v>856</v>
      </c>
      <c r="I21" s="38"/>
      <c r="J21" s="23" t="s">
        <v>673</v>
      </c>
      <c r="K21" s="41" t="s">
        <v>245</v>
      </c>
      <c r="L21" s="59" t="s">
        <v>245</v>
      </c>
      <c r="M21" s="41" t="s">
        <v>245</v>
      </c>
      <c r="N21" s="41" t="s">
        <v>245</v>
      </c>
      <c r="O21" s="41" t="s">
        <v>245</v>
      </c>
      <c r="P21" s="41" t="s">
        <v>245</v>
      </c>
      <c r="Q21" s="41">
        <f>121719.6</f>
        <v>121719.6</v>
      </c>
      <c r="R21" s="41" t="s">
        <v>245</v>
      </c>
      <c r="S21" s="41"/>
      <c r="T21" s="41"/>
      <c r="U21" s="41"/>
      <c r="V21" s="41"/>
    </row>
    <row r="22" spans="2:22" ht="36" customHeight="1" x14ac:dyDescent="0.2">
      <c r="B22" s="19"/>
      <c r="C22" s="16" t="s">
        <v>369</v>
      </c>
      <c r="D22" s="16">
        <v>2018</v>
      </c>
      <c r="E22" s="38"/>
      <c r="F22" s="7" t="s">
        <v>360</v>
      </c>
      <c r="G22" s="16" t="s">
        <v>361</v>
      </c>
      <c r="H22" s="16" t="s">
        <v>368</v>
      </c>
      <c r="I22" s="38"/>
      <c r="J22" s="23" t="s">
        <v>721</v>
      </c>
      <c r="K22" s="41">
        <f>2400.94</f>
        <v>2400.94</v>
      </c>
      <c r="L22" s="42">
        <f>2796.78</f>
        <v>2796.78</v>
      </c>
      <c r="M22" s="41">
        <f>3514.24</f>
        <v>3514.24</v>
      </c>
      <c r="N22" s="41">
        <v>149.80000000000001</v>
      </c>
      <c r="O22" s="41">
        <v>154</v>
      </c>
      <c r="P22" s="41">
        <f>154.65</f>
        <v>154.65</v>
      </c>
      <c r="Q22" s="41">
        <f>159.4</f>
        <v>159.4</v>
      </c>
      <c r="R22" s="41">
        <v>2320.92</v>
      </c>
      <c r="S22" s="41"/>
      <c r="T22" s="41"/>
      <c r="U22" s="41"/>
      <c r="V22" s="41"/>
    </row>
    <row r="23" spans="2:22" ht="39.75" customHeight="1" x14ac:dyDescent="0.2">
      <c r="B23" s="19"/>
      <c r="C23" s="16" t="s">
        <v>182</v>
      </c>
      <c r="D23" s="16">
        <v>2017</v>
      </c>
      <c r="E23" s="38"/>
      <c r="F23" s="7" t="s">
        <v>8</v>
      </c>
      <c r="G23" s="16" t="s">
        <v>9</v>
      </c>
      <c r="H23" s="16" t="s">
        <v>765</v>
      </c>
      <c r="I23" s="38"/>
      <c r="J23" s="17">
        <v>43567</v>
      </c>
      <c r="K23" s="41">
        <f>43414.31</f>
        <v>43414.31</v>
      </c>
      <c r="L23" s="42">
        <f>573726.59</f>
        <v>573726.59</v>
      </c>
      <c r="M23" s="41">
        <f>36357.57+199885.25+652716.49+48986.77+6005.34</f>
        <v>943951.42</v>
      </c>
      <c r="N23" s="41">
        <v>0</v>
      </c>
      <c r="O23" s="41">
        <v>0</v>
      </c>
      <c r="P23" s="41">
        <f>752554.11+725564.88</f>
        <v>1478118.99</v>
      </c>
      <c r="Q23" s="41">
        <f>307552.9+68185.05+397941.25+736889.15</f>
        <v>1510568.35</v>
      </c>
      <c r="R23" s="41">
        <f>'[61]FSB 2019-2020'!$G$60+'[61]FSB 2019-2020'!$G$66+'[61]FSB 2019-2020'!$G$67+'[61]FSB 2019-2020'!$G$68+'[61]FSB 2019-2020'!$G$69+'[61]FSB 2019-2020'!$G$70+'[61]FSB 2019-2020'!$G$71+'[61]FSB 2019-2020'!$G$72+'[61]FSB 2019-2020'!$G$73+'[61]FSB 2019-2020'!$G$74+'[61]FSB 2019-2020'!$G$75+'[61]FSB 2019-2020'!$G$76+'[61]FSB 2019-2020'!$G$77+'[61]FSB 2019-2020'!$G$78+'[61]FSB 2019-2020'!$G$79+'[61]FSB 2018-2019'!$O$27</f>
        <v>812695.35000000009</v>
      </c>
      <c r="S23" s="41">
        <f>'[61]FSB 2018-2019'!$O$28+'[61]FSB 2018-2019'!$O$29+'[61]FSB 2019-2020'!$O$11+'[61]FSB 2019-2020'!$O$12+'[61]FSB 2019-2020'!$O$13</f>
        <v>157122.96</v>
      </c>
      <c r="T23" s="41"/>
      <c r="U23" s="41"/>
      <c r="V23" s="41"/>
    </row>
    <row r="24" spans="2:22" ht="39.75" customHeight="1" x14ac:dyDescent="0.2">
      <c r="B24" s="44" t="s">
        <v>776</v>
      </c>
      <c r="C24" s="16" t="s">
        <v>256</v>
      </c>
      <c r="D24" s="16">
        <v>2013</v>
      </c>
      <c r="E24" s="38"/>
      <c r="F24" s="7" t="s">
        <v>257</v>
      </c>
      <c r="G24" s="16" t="s">
        <v>258</v>
      </c>
      <c r="H24" s="16" t="s">
        <v>826</v>
      </c>
      <c r="I24" s="38"/>
      <c r="J24" s="23" t="s">
        <v>344</v>
      </c>
      <c r="K24" s="41">
        <v>10852.96</v>
      </c>
      <c r="L24" s="42" t="s">
        <v>245</v>
      </c>
      <c r="M24" s="42" t="s">
        <v>245</v>
      </c>
      <c r="N24" s="42" t="s">
        <v>245</v>
      </c>
      <c r="O24" s="42">
        <f>40249.65</f>
        <v>40249.65</v>
      </c>
      <c r="P24" s="59" t="s">
        <v>245</v>
      </c>
      <c r="Q24" s="59" t="s">
        <v>245</v>
      </c>
      <c r="R24" s="59" t="s">
        <v>245</v>
      </c>
      <c r="S24" s="41"/>
      <c r="T24" s="41"/>
      <c r="U24" s="41"/>
      <c r="V24" s="41"/>
    </row>
    <row r="25" spans="2:22" ht="39.75" customHeight="1" x14ac:dyDescent="0.2">
      <c r="B25" s="19"/>
      <c r="C25" s="16" t="s">
        <v>902</v>
      </c>
      <c r="D25" s="16">
        <v>2019</v>
      </c>
      <c r="E25" s="38"/>
      <c r="F25" s="7" t="s">
        <v>257</v>
      </c>
      <c r="G25" s="16" t="s">
        <v>258</v>
      </c>
      <c r="H25" s="16" t="s">
        <v>826</v>
      </c>
      <c r="I25" s="38"/>
      <c r="J25" s="23" t="s">
        <v>733</v>
      </c>
      <c r="K25" s="42" t="s">
        <v>245</v>
      </c>
      <c r="L25" s="42" t="s">
        <v>245</v>
      </c>
      <c r="M25" s="42" t="s">
        <v>245</v>
      </c>
      <c r="N25" s="42" t="s">
        <v>245</v>
      </c>
      <c r="O25" s="41" t="s">
        <v>245</v>
      </c>
      <c r="P25" s="59" t="s">
        <v>245</v>
      </c>
      <c r="Q25" s="41">
        <f>8361.73</f>
        <v>8361.73</v>
      </c>
      <c r="R25" s="41">
        <v>12007.93</v>
      </c>
      <c r="S25" s="41">
        <v>13711.91</v>
      </c>
      <c r="T25" s="41"/>
      <c r="U25" s="41"/>
      <c r="V25" s="41"/>
    </row>
    <row r="26" spans="2:22" ht="39.75" customHeight="1" x14ac:dyDescent="0.2">
      <c r="B26" s="19"/>
      <c r="C26" s="16" t="s">
        <v>903</v>
      </c>
      <c r="D26" s="16">
        <v>2019</v>
      </c>
      <c r="E26" s="38"/>
      <c r="F26" s="7" t="s">
        <v>904</v>
      </c>
      <c r="G26" s="16" t="s">
        <v>905</v>
      </c>
      <c r="H26" s="16" t="s">
        <v>906</v>
      </c>
      <c r="I26" s="38"/>
      <c r="J26" s="23" t="s">
        <v>842</v>
      </c>
      <c r="K26" s="59" t="s">
        <v>245</v>
      </c>
      <c r="L26" s="59" t="s">
        <v>245</v>
      </c>
      <c r="M26" s="59" t="s">
        <v>245</v>
      </c>
      <c r="N26" s="59" t="s">
        <v>245</v>
      </c>
      <c r="O26" s="59" t="s">
        <v>245</v>
      </c>
      <c r="P26" s="59" t="s">
        <v>245</v>
      </c>
      <c r="Q26" s="59" t="s">
        <v>245</v>
      </c>
      <c r="R26" s="41"/>
      <c r="S26" s="41"/>
      <c r="T26" s="41"/>
      <c r="U26" s="41"/>
      <c r="V26" s="41"/>
    </row>
    <row r="27" spans="2:22" ht="39.75" customHeight="1" x14ac:dyDescent="0.2">
      <c r="B27" s="19"/>
      <c r="C27" s="16" t="s">
        <v>11</v>
      </c>
      <c r="D27" s="16">
        <v>2014</v>
      </c>
      <c r="E27" s="38" t="s">
        <v>12</v>
      </c>
      <c r="F27" s="7" t="s">
        <v>13</v>
      </c>
      <c r="G27" s="16" t="s">
        <v>14</v>
      </c>
      <c r="H27" s="16" t="s">
        <v>15</v>
      </c>
      <c r="I27" s="38" t="s">
        <v>16</v>
      </c>
      <c r="J27" s="17">
        <v>43809</v>
      </c>
      <c r="K27" s="41">
        <v>429545.68</v>
      </c>
      <c r="L27" s="41">
        <v>480291.29</v>
      </c>
      <c r="M27" s="41">
        <f>436734.36</f>
        <v>436734.36</v>
      </c>
      <c r="N27" s="41">
        <f>352116.8</f>
        <v>352116.8</v>
      </c>
      <c r="O27" s="41">
        <f>265789.16</f>
        <v>265789.15999999997</v>
      </c>
      <c r="P27" s="41">
        <f>274340.92</f>
        <v>274340.92</v>
      </c>
      <c r="Q27" s="41">
        <f>255976.08</f>
        <v>255976.08</v>
      </c>
      <c r="R27" s="41">
        <f>237328.92</f>
        <v>237328.92</v>
      </c>
      <c r="S27" s="41">
        <f>227308.52</f>
        <v>227308.52</v>
      </c>
      <c r="T27" s="41"/>
      <c r="U27" s="41"/>
      <c r="V27" s="41"/>
    </row>
    <row r="28" spans="2:22" ht="39.75" customHeight="1" x14ac:dyDescent="0.2">
      <c r="B28" s="19"/>
      <c r="C28" s="16" t="s">
        <v>262</v>
      </c>
      <c r="D28" s="16">
        <v>2014</v>
      </c>
      <c r="E28" s="38"/>
      <c r="F28" s="7" t="s">
        <v>263</v>
      </c>
      <c r="G28" s="16" t="s">
        <v>14</v>
      </c>
      <c r="H28" s="16" t="s">
        <v>766</v>
      </c>
      <c r="I28" s="38"/>
      <c r="J28" s="17">
        <v>43561</v>
      </c>
      <c r="K28" s="41">
        <v>0</v>
      </c>
      <c r="L28" s="42">
        <v>0</v>
      </c>
      <c r="M28" s="41">
        <f>2753.7+6311.4</f>
        <v>9065.0999999999985</v>
      </c>
      <c r="N28" s="41">
        <v>2524.56</v>
      </c>
      <c r="O28" s="41">
        <v>0</v>
      </c>
      <c r="P28" s="41">
        <f>6773.7</f>
        <v>6773.7</v>
      </c>
      <c r="Q28" s="41">
        <f>4381.8</f>
        <v>4381.8</v>
      </c>
      <c r="R28" s="41"/>
      <c r="S28" s="41">
        <v>2014.02</v>
      </c>
      <c r="T28" s="41"/>
      <c r="U28" s="41"/>
      <c r="V28" s="41"/>
    </row>
    <row r="29" spans="2:22" ht="39.75" customHeight="1" x14ac:dyDescent="0.2">
      <c r="B29" s="19"/>
      <c r="C29" s="16" t="s">
        <v>251</v>
      </c>
      <c r="D29" s="16">
        <v>2014</v>
      </c>
      <c r="E29" s="38"/>
      <c r="F29" s="7" t="s">
        <v>252</v>
      </c>
      <c r="G29" s="16" t="s">
        <v>253</v>
      </c>
      <c r="H29" s="16" t="s">
        <v>767</v>
      </c>
      <c r="I29" s="38"/>
      <c r="J29" s="17">
        <v>43785</v>
      </c>
      <c r="K29" s="41">
        <v>67701.740000000005</v>
      </c>
      <c r="L29" s="41">
        <v>67951.199999999997</v>
      </c>
      <c r="M29" s="41">
        <f>68730.15</f>
        <v>68730.149999999994</v>
      </c>
      <c r="N29" s="41">
        <f>59744.31</f>
        <v>59744.31</v>
      </c>
      <c r="O29" s="41">
        <f>53428.94</f>
        <v>53428.94</v>
      </c>
      <c r="P29" s="41">
        <f>52811.42</f>
        <v>52811.42</v>
      </c>
      <c r="Q29" s="41">
        <f>64774.27</f>
        <v>64774.27</v>
      </c>
      <c r="R29" s="41">
        <f>54348.53</f>
        <v>54348.53</v>
      </c>
      <c r="S29" s="41"/>
      <c r="T29" s="41"/>
      <c r="U29" s="41"/>
      <c r="V29" s="41"/>
    </row>
    <row r="30" spans="2:22" ht="39.75" customHeight="1" x14ac:dyDescent="0.2">
      <c r="B30" s="19"/>
      <c r="C30" s="16" t="s">
        <v>17</v>
      </c>
      <c r="D30" s="16">
        <v>2015</v>
      </c>
      <c r="E30" s="38" t="s">
        <v>12</v>
      </c>
      <c r="F30" s="7" t="s">
        <v>18</v>
      </c>
      <c r="G30" s="16" t="s">
        <v>19</v>
      </c>
      <c r="H30" s="16" t="s">
        <v>20</v>
      </c>
      <c r="I30" s="38" t="s">
        <v>21</v>
      </c>
      <c r="J30" s="17">
        <v>43548</v>
      </c>
      <c r="K30" s="41">
        <f>7875+7875</f>
        <v>15750</v>
      </c>
      <c r="L30" s="41">
        <v>7875</v>
      </c>
      <c r="M30" s="41">
        <v>0</v>
      </c>
      <c r="N30" s="41">
        <v>0</v>
      </c>
      <c r="O30" s="41">
        <v>0</v>
      </c>
      <c r="P30" s="41">
        <v>0</v>
      </c>
      <c r="Q30" s="41">
        <v>0</v>
      </c>
      <c r="R30" s="41">
        <f>6*7875</f>
        <v>47250</v>
      </c>
      <c r="S30" s="41"/>
      <c r="T30" s="41"/>
      <c r="U30" s="41"/>
      <c r="V30" s="41"/>
    </row>
    <row r="31" spans="2:22" ht="39.75" customHeight="1" x14ac:dyDescent="0.2">
      <c r="B31" s="19"/>
      <c r="C31" s="16" t="s">
        <v>22</v>
      </c>
      <c r="D31" s="16">
        <v>2015</v>
      </c>
      <c r="E31" s="38" t="s">
        <v>12</v>
      </c>
      <c r="F31" s="7" t="s">
        <v>23</v>
      </c>
      <c r="G31" s="16" t="s">
        <v>24</v>
      </c>
      <c r="H31" s="16" t="s">
        <v>25</v>
      </c>
      <c r="I31" s="38" t="s">
        <v>26</v>
      </c>
      <c r="J31" s="17">
        <v>43920</v>
      </c>
      <c r="K31" s="41">
        <f>107088.69</f>
        <v>107088.69</v>
      </c>
      <c r="L31" s="41">
        <v>106686.42</v>
      </c>
      <c r="M31" s="41">
        <f>104761.09</f>
        <v>104761.09</v>
      </c>
      <c r="N31" s="41">
        <v>104761.09</v>
      </c>
      <c r="O31" s="41">
        <v>0</v>
      </c>
      <c r="P31" s="41">
        <f>96541.67</f>
        <v>96541.67</v>
      </c>
      <c r="Q31" s="41">
        <f>96910.13</f>
        <v>96910.13</v>
      </c>
      <c r="R31" s="41">
        <f>95367.14</f>
        <v>95367.14</v>
      </c>
      <c r="S31" s="41">
        <v>95212.34</v>
      </c>
      <c r="T31" s="41"/>
      <c r="U31" s="41"/>
      <c r="V31" s="41"/>
    </row>
    <row r="32" spans="2:22" ht="39.75" customHeight="1" x14ac:dyDescent="0.2">
      <c r="B32" s="19"/>
      <c r="C32" s="16" t="s">
        <v>27</v>
      </c>
      <c r="D32" s="16">
        <v>2015</v>
      </c>
      <c r="E32" s="38" t="s">
        <v>12</v>
      </c>
      <c r="F32" s="7" t="s">
        <v>28</v>
      </c>
      <c r="G32" s="16" t="s">
        <v>29</v>
      </c>
      <c r="H32" s="16" t="s">
        <v>30</v>
      </c>
      <c r="I32" s="38" t="s">
        <v>31</v>
      </c>
      <c r="J32" s="17">
        <v>43920</v>
      </c>
      <c r="K32" s="41">
        <v>137590.76999999999</v>
      </c>
      <c r="L32" s="41">
        <v>137590.76999999999</v>
      </c>
      <c r="M32" s="41">
        <v>137590.76999999999</v>
      </c>
      <c r="N32" s="41">
        <v>137590.76999999999</v>
      </c>
      <c r="O32" s="41">
        <f>63650.65</f>
        <v>63650.65</v>
      </c>
      <c r="P32" s="41">
        <f>63650.65</f>
        <v>63650.65</v>
      </c>
      <c r="Q32" s="41">
        <v>63650.65</v>
      </c>
      <c r="R32" s="41">
        <v>63650.65</v>
      </c>
      <c r="S32" s="41">
        <v>63650.65</v>
      </c>
      <c r="T32" s="41"/>
      <c r="U32" s="41"/>
      <c r="V32" s="41"/>
    </row>
    <row r="33" spans="2:22" ht="39.75" customHeight="1" x14ac:dyDescent="0.2">
      <c r="B33" s="19"/>
      <c r="C33" s="16" t="s">
        <v>230</v>
      </c>
      <c r="D33" s="16">
        <v>2017</v>
      </c>
      <c r="E33" s="38" t="s">
        <v>43</v>
      </c>
      <c r="F33" s="7" t="s">
        <v>44</v>
      </c>
      <c r="G33" s="16" t="s">
        <v>45</v>
      </c>
      <c r="H33" s="16" t="s">
        <v>426</v>
      </c>
      <c r="I33" s="38"/>
      <c r="J33" s="17">
        <v>43805</v>
      </c>
      <c r="K33" s="41">
        <v>1163.25</v>
      </c>
      <c r="L33" s="42">
        <v>0</v>
      </c>
      <c r="M33" s="41">
        <v>0</v>
      </c>
      <c r="N33" s="41">
        <f>697.95</f>
        <v>697.95</v>
      </c>
      <c r="O33" s="41">
        <v>0</v>
      </c>
      <c r="P33" s="41">
        <v>352.24</v>
      </c>
      <c r="Q33" s="41">
        <v>352.24</v>
      </c>
      <c r="R33" s="41">
        <v>0</v>
      </c>
      <c r="S33" s="41">
        <f>352.24+352.24</f>
        <v>704.48</v>
      </c>
      <c r="T33" s="41"/>
      <c r="U33" s="41"/>
      <c r="V33" s="41"/>
    </row>
    <row r="34" spans="2:22" ht="39.75" customHeight="1" x14ac:dyDescent="0.2">
      <c r="B34" s="19"/>
      <c r="C34" s="16" t="s">
        <v>48</v>
      </c>
      <c r="D34" s="16">
        <v>2014</v>
      </c>
      <c r="E34" s="38" t="s">
        <v>12</v>
      </c>
      <c r="F34" s="7" t="s">
        <v>49</v>
      </c>
      <c r="G34" s="16" t="s">
        <v>50</v>
      </c>
      <c r="H34" s="16" t="s">
        <v>51</v>
      </c>
      <c r="I34" s="38" t="s">
        <v>52</v>
      </c>
      <c r="J34" s="17">
        <v>43817</v>
      </c>
      <c r="K34" s="41">
        <v>4266.59</v>
      </c>
      <c r="L34" s="41">
        <f>8526.36+3694.76</f>
        <v>12221.12</v>
      </c>
      <c r="M34" s="41">
        <f>8526.36</f>
        <v>8526.36</v>
      </c>
      <c r="N34" s="41">
        <v>8526.36</v>
      </c>
      <c r="O34" s="41">
        <v>8526.36</v>
      </c>
      <c r="P34" s="41">
        <f>8526.6</f>
        <v>8526.6</v>
      </c>
      <c r="Q34" s="41">
        <v>8526.36</v>
      </c>
      <c r="R34" s="41"/>
      <c r="S34" s="59"/>
      <c r="T34" s="41"/>
      <c r="U34" s="41"/>
      <c r="V34" s="41"/>
    </row>
    <row r="35" spans="2:22" ht="39.75" customHeight="1" x14ac:dyDescent="0.2">
      <c r="B35" s="19"/>
      <c r="C35" s="16" t="s">
        <v>53</v>
      </c>
      <c r="D35" s="16">
        <v>2014</v>
      </c>
      <c r="E35" s="38" t="s">
        <v>54</v>
      </c>
      <c r="F35" s="7" t="s">
        <v>55</v>
      </c>
      <c r="G35" s="16" t="s">
        <v>56</v>
      </c>
      <c r="H35" s="16" t="s">
        <v>57</v>
      </c>
      <c r="I35" s="38" t="s">
        <v>58</v>
      </c>
      <c r="J35" s="17">
        <v>43673</v>
      </c>
      <c r="K35" s="41">
        <v>5500</v>
      </c>
      <c r="L35" s="41">
        <v>5500</v>
      </c>
      <c r="M35" s="41">
        <v>5500</v>
      </c>
      <c r="N35" s="41">
        <v>0</v>
      </c>
      <c r="O35" s="41">
        <f>5500+5500</f>
        <v>11000</v>
      </c>
      <c r="P35" s="41">
        <v>0</v>
      </c>
      <c r="Q35" s="41">
        <v>11000</v>
      </c>
      <c r="R35" s="41"/>
      <c r="S35" s="41"/>
      <c r="T35" s="41"/>
      <c r="U35" s="41"/>
      <c r="V35" s="41"/>
    </row>
    <row r="36" spans="2:22" ht="39.75" customHeight="1" x14ac:dyDescent="0.2">
      <c r="B36" s="19"/>
      <c r="C36" s="16" t="s">
        <v>59</v>
      </c>
      <c r="D36" s="16">
        <v>2014</v>
      </c>
      <c r="E36" s="38" t="s">
        <v>12</v>
      </c>
      <c r="F36" s="7" t="s">
        <v>60</v>
      </c>
      <c r="G36" s="16" t="s">
        <v>61</v>
      </c>
      <c r="H36" s="16" t="s">
        <v>62</v>
      </c>
      <c r="I36" s="38" t="s">
        <v>63</v>
      </c>
      <c r="J36" s="17">
        <v>43738</v>
      </c>
      <c r="K36" s="41">
        <v>132658.01999999999</v>
      </c>
      <c r="L36" s="41">
        <v>132658.01999999999</v>
      </c>
      <c r="M36" s="41">
        <v>132658.01999999999</v>
      </c>
      <c r="N36" s="41">
        <v>132658.01999999999</v>
      </c>
      <c r="O36" s="41">
        <f>118516.67</f>
        <v>118516.67</v>
      </c>
      <c r="P36" s="41">
        <f>118516.67</f>
        <v>118516.67</v>
      </c>
      <c r="Q36" s="41">
        <f>118516.67</f>
        <v>118516.67</v>
      </c>
      <c r="R36" s="41">
        <v>118516.67</v>
      </c>
      <c r="S36" s="41"/>
      <c r="T36" s="41"/>
      <c r="U36" s="41"/>
      <c r="V36" s="41"/>
    </row>
    <row r="37" spans="2:22" ht="39.75" customHeight="1" x14ac:dyDescent="0.2">
      <c r="B37" s="19"/>
      <c r="C37" s="16" t="s">
        <v>336</v>
      </c>
      <c r="D37" s="16">
        <v>2017</v>
      </c>
      <c r="E37" s="38" t="s">
        <v>69</v>
      </c>
      <c r="F37" s="7" t="s">
        <v>70</v>
      </c>
      <c r="G37" s="16" t="s">
        <v>71</v>
      </c>
      <c r="H37" s="16" t="s">
        <v>427</v>
      </c>
      <c r="I37" s="38"/>
      <c r="J37" s="17">
        <v>43509</v>
      </c>
      <c r="K37" s="42" t="s">
        <v>245</v>
      </c>
      <c r="L37" s="42" t="s">
        <v>245</v>
      </c>
      <c r="M37" s="42" t="s">
        <v>245</v>
      </c>
      <c r="N37" s="42" t="s">
        <v>245</v>
      </c>
      <c r="O37" s="41" t="s">
        <v>245</v>
      </c>
      <c r="P37" s="59" t="s">
        <v>245</v>
      </c>
      <c r="Q37" s="59" t="s">
        <v>245</v>
      </c>
      <c r="R37" s="59" t="s">
        <v>245</v>
      </c>
      <c r="S37" s="59" t="s">
        <v>245</v>
      </c>
      <c r="T37" s="41"/>
      <c r="U37" s="41"/>
      <c r="V37" s="41"/>
    </row>
    <row r="38" spans="2:22" ht="39.75" customHeight="1" x14ac:dyDescent="0.2">
      <c r="B38" s="19"/>
      <c r="C38" s="16" t="s">
        <v>337</v>
      </c>
      <c r="D38" s="16">
        <v>2017</v>
      </c>
      <c r="E38" s="38" t="s">
        <v>69</v>
      </c>
      <c r="F38" s="7" t="s">
        <v>70</v>
      </c>
      <c r="G38" s="16" t="s">
        <v>71</v>
      </c>
      <c r="H38" s="16" t="s">
        <v>427</v>
      </c>
      <c r="I38" s="38"/>
      <c r="J38" s="17">
        <v>43629</v>
      </c>
      <c r="K38" s="41">
        <v>0</v>
      </c>
      <c r="L38" s="42">
        <v>0</v>
      </c>
      <c r="M38" s="41">
        <f>388987.67</f>
        <v>388987.67</v>
      </c>
      <c r="N38" s="41">
        <v>0</v>
      </c>
      <c r="O38" s="41">
        <v>388987.67</v>
      </c>
      <c r="P38" s="59" t="s">
        <v>245</v>
      </c>
      <c r="Q38" s="59" t="s">
        <v>245</v>
      </c>
      <c r="R38" s="59" t="s">
        <v>245</v>
      </c>
      <c r="S38" s="41"/>
      <c r="T38" s="41"/>
      <c r="U38" s="41"/>
      <c r="V38" s="41"/>
    </row>
    <row r="39" spans="2:22" ht="39.75" customHeight="1" x14ac:dyDescent="0.2">
      <c r="B39" s="19"/>
      <c r="C39" s="16" t="s">
        <v>687</v>
      </c>
      <c r="D39" s="16">
        <v>2018</v>
      </c>
      <c r="E39" s="38"/>
      <c r="F39" s="7" t="s">
        <v>70</v>
      </c>
      <c r="G39" s="16" t="s">
        <v>71</v>
      </c>
      <c r="H39" s="16" t="s">
        <v>688</v>
      </c>
      <c r="I39" s="38"/>
      <c r="J39" s="17">
        <v>44002</v>
      </c>
      <c r="K39" s="41">
        <v>0</v>
      </c>
      <c r="L39" s="42">
        <v>0</v>
      </c>
      <c r="M39" s="41">
        <f>599442.8</f>
        <v>599442.80000000005</v>
      </c>
      <c r="N39" s="41">
        <v>0</v>
      </c>
      <c r="O39" s="41">
        <v>0</v>
      </c>
      <c r="P39" s="59" t="s">
        <v>245</v>
      </c>
      <c r="Q39" s="59">
        <f>999071.33</f>
        <v>999071.33</v>
      </c>
      <c r="R39" s="59" t="s">
        <v>245</v>
      </c>
      <c r="S39" s="41">
        <f>299721.4+299721.4</f>
        <v>599442.80000000005</v>
      </c>
      <c r="T39" s="41"/>
      <c r="U39" s="41"/>
      <c r="V39" s="41"/>
    </row>
    <row r="40" spans="2:22" ht="39.75" customHeight="1" x14ac:dyDescent="0.2">
      <c r="B40" s="44" t="s">
        <v>776</v>
      </c>
      <c r="C40" s="16" t="s">
        <v>598</v>
      </c>
      <c r="D40" s="16">
        <v>2018</v>
      </c>
      <c r="E40" s="38"/>
      <c r="F40" s="7" t="s">
        <v>282</v>
      </c>
      <c r="G40" s="16" t="s">
        <v>283</v>
      </c>
      <c r="H40" s="16" t="s">
        <v>599</v>
      </c>
      <c r="I40" s="38"/>
      <c r="J40" s="23" t="s">
        <v>329</v>
      </c>
      <c r="K40" s="41">
        <v>784</v>
      </c>
      <c r="L40" s="42" t="s">
        <v>245</v>
      </c>
      <c r="M40" s="42" t="s">
        <v>245</v>
      </c>
      <c r="N40" s="42" t="s">
        <v>245</v>
      </c>
      <c r="O40" s="41" t="s">
        <v>245</v>
      </c>
      <c r="P40" s="41" t="s">
        <v>245</v>
      </c>
      <c r="Q40" s="41" t="s">
        <v>245</v>
      </c>
      <c r="R40" s="41" t="s">
        <v>245</v>
      </c>
      <c r="S40" s="41"/>
      <c r="T40" s="41"/>
      <c r="U40" s="41"/>
      <c r="V40" s="41"/>
    </row>
    <row r="41" spans="2:22" ht="39.75" customHeight="1" x14ac:dyDescent="0.2">
      <c r="B41" s="19"/>
      <c r="C41" s="16" t="s">
        <v>872</v>
      </c>
      <c r="D41" s="16">
        <v>2019</v>
      </c>
      <c r="E41" s="38"/>
      <c r="F41" s="7" t="s">
        <v>282</v>
      </c>
      <c r="G41" s="16" t="s">
        <v>283</v>
      </c>
      <c r="H41" s="16" t="s">
        <v>768</v>
      </c>
      <c r="I41" s="38"/>
      <c r="J41" s="23" t="s">
        <v>733</v>
      </c>
      <c r="K41" s="41">
        <v>0</v>
      </c>
      <c r="L41" s="42">
        <v>0</v>
      </c>
      <c r="M41" s="41">
        <v>0</v>
      </c>
      <c r="N41" s="41">
        <v>2073</v>
      </c>
      <c r="O41" s="41">
        <v>709</v>
      </c>
      <c r="P41" s="41" t="s">
        <v>245</v>
      </c>
      <c r="Q41" s="41" t="s">
        <v>245</v>
      </c>
      <c r="R41" s="41" t="s">
        <v>245</v>
      </c>
      <c r="S41" s="41"/>
      <c r="T41" s="41"/>
      <c r="U41" s="41"/>
      <c r="V41" s="41"/>
    </row>
    <row r="42" spans="2:22" ht="39.75" customHeight="1" x14ac:dyDescent="0.2">
      <c r="B42" s="44" t="s">
        <v>776</v>
      </c>
      <c r="C42" s="16" t="s">
        <v>880</v>
      </c>
      <c r="D42" s="16">
        <v>2019</v>
      </c>
      <c r="E42" s="38"/>
      <c r="F42" s="7" t="s">
        <v>881</v>
      </c>
      <c r="G42" s="16" t="s">
        <v>882</v>
      </c>
      <c r="H42" s="16" t="s">
        <v>883</v>
      </c>
      <c r="I42" s="38"/>
      <c r="J42" s="23" t="s">
        <v>733</v>
      </c>
      <c r="K42" s="41" t="s">
        <v>245</v>
      </c>
      <c r="L42" s="59" t="s">
        <v>245</v>
      </c>
      <c r="M42" s="41" t="s">
        <v>245</v>
      </c>
      <c r="N42" s="41" t="s">
        <v>245</v>
      </c>
      <c r="O42" s="41" t="s">
        <v>245</v>
      </c>
      <c r="P42" s="41">
        <v>4250</v>
      </c>
      <c r="Q42" s="41" t="s">
        <v>245</v>
      </c>
      <c r="R42" s="41" t="s">
        <v>245</v>
      </c>
      <c r="S42" s="41"/>
      <c r="T42" s="41"/>
      <c r="U42" s="41"/>
      <c r="V42" s="41"/>
    </row>
    <row r="43" spans="2:22" ht="39.75" customHeight="1" x14ac:dyDescent="0.2">
      <c r="B43" s="19"/>
      <c r="C43" s="16" t="s">
        <v>265</v>
      </c>
      <c r="D43" s="16">
        <v>2017</v>
      </c>
      <c r="E43" s="38"/>
      <c r="F43" s="7" t="s">
        <v>266</v>
      </c>
      <c r="G43" s="16" t="s">
        <v>120</v>
      </c>
      <c r="H43" s="16" t="s">
        <v>436</v>
      </c>
      <c r="I43" s="38"/>
      <c r="J43" s="17">
        <v>43657</v>
      </c>
      <c r="K43" s="41">
        <v>19462.009999999998</v>
      </c>
      <c r="L43" s="41">
        <v>19462.009999999998</v>
      </c>
      <c r="M43" s="41">
        <v>19462.009999999998</v>
      </c>
      <c r="N43" s="41">
        <v>0</v>
      </c>
      <c r="O43" s="41">
        <f>19462.01+19462.01</f>
        <v>38924.019999999997</v>
      </c>
      <c r="P43" s="41">
        <v>0</v>
      </c>
      <c r="Q43" s="41">
        <f>19462.01</f>
        <v>19462.009999999998</v>
      </c>
      <c r="R43" s="41">
        <v>20528.87</v>
      </c>
      <c r="S43" s="41"/>
      <c r="T43" s="41"/>
      <c r="U43" s="41"/>
      <c r="V43" s="41"/>
    </row>
    <row r="44" spans="2:22" ht="39.75" customHeight="1" x14ac:dyDescent="0.2">
      <c r="B44" s="19"/>
      <c r="C44" s="16" t="s">
        <v>280</v>
      </c>
      <c r="D44" s="16">
        <v>2017</v>
      </c>
      <c r="E44" s="38"/>
      <c r="F44" s="7" t="s">
        <v>277</v>
      </c>
      <c r="G44" s="16" t="s">
        <v>267</v>
      </c>
      <c r="H44" s="16" t="s">
        <v>437</v>
      </c>
      <c r="I44" s="38"/>
      <c r="J44" s="17">
        <v>43315</v>
      </c>
      <c r="K44" s="41">
        <f>23340.54+22330.25</f>
        <v>45670.79</v>
      </c>
      <c r="L44" s="41">
        <v>21992.18</v>
      </c>
      <c r="M44" s="41">
        <v>23813.71</v>
      </c>
      <c r="N44" s="41">
        <f>22233.45</f>
        <v>22233.45</v>
      </c>
      <c r="O44" s="41">
        <f>23396.54</f>
        <v>23396.54</v>
      </c>
      <c r="P44" s="41">
        <v>0</v>
      </c>
      <c r="Q44" s="41">
        <v>0</v>
      </c>
      <c r="R44" s="41">
        <f>20348.05</f>
        <v>20348.05</v>
      </c>
      <c r="S44" s="41">
        <v>24691.43</v>
      </c>
      <c r="T44" s="41"/>
      <c r="U44" s="41"/>
      <c r="V44" s="41"/>
    </row>
    <row r="45" spans="2:22" ht="39.75" customHeight="1" x14ac:dyDescent="0.2">
      <c r="B45" s="19"/>
      <c r="C45" s="16" t="s">
        <v>73</v>
      </c>
      <c r="D45" s="16">
        <v>2016</v>
      </c>
      <c r="E45" s="38" t="s">
        <v>12</v>
      </c>
      <c r="F45" s="7" t="s">
        <v>74</v>
      </c>
      <c r="G45" s="16" t="s">
        <v>75</v>
      </c>
      <c r="H45" s="16" t="s">
        <v>76</v>
      </c>
      <c r="I45" s="38" t="s">
        <v>77</v>
      </c>
      <c r="J45" s="17">
        <v>43658</v>
      </c>
      <c r="K45" s="41">
        <f>433017.68</f>
        <v>433017.68</v>
      </c>
      <c r="L45" s="41">
        <v>436612.2</v>
      </c>
      <c r="M45" s="41">
        <f>432975.94</f>
        <v>432975.94</v>
      </c>
      <c r="N45" s="41">
        <f>402527.43</f>
        <v>402527.43</v>
      </c>
      <c r="O45" s="41">
        <f>411718.7</f>
        <v>411718.7</v>
      </c>
      <c r="P45" s="41">
        <f>423538.58</f>
        <v>423538.58</v>
      </c>
      <c r="Q45" s="41">
        <f>419687.72</f>
        <v>419687.72</v>
      </c>
      <c r="R45" s="41">
        <v>421380.38</v>
      </c>
      <c r="S45" s="41">
        <v>419265.57</v>
      </c>
      <c r="T45" s="41"/>
      <c r="U45" s="41"/>
      <c r="V45" s="41"/>
    </row>
    <row r="46" spans="2:22" ht="39.75" customHeight="1" x14ac:dyDescent="0.2">
      <c r="B46" s="19"/>
      <c r="C46" s="16" t="s">
        <v>671</v>
      </c>
      <c r="D46" s="16">
        <v>2018</v>
      </c>
      <c r="E46" s="7" t="s">
        <v>87</v>
      </c>
      <c r="F46" s="7" t="s">
        <v>87</v>
      </c>
      <c r="G46" s="16" t="s">
        <v>88</v>
      </c>
      <c r="H46" s="17" t="s">
        <v>89</v>
      </c>
      <c r="I46" s="41">
        <v>44095.340000000004</v>
      </c>
      <c r="J46" s="45" t="s">
        <v>673</v>
      </c>
      <c r="K46" s="41">
        <v>13032.26</v>
      </c>
      <c r="L46" s="41">
        <v>4793.5200000000004</v>
      </c>
      <c r="M46" s="41">
        <f>8467.22</f>
        <v>8467.2199999999993</v>
      </c>
      <c r="N46" s="41">
        <f>6410.56</f>
        <v>6410.56</v>
      </c>
      <c r="O46" s="41">
        <v>8280.2199999999993</v>
      </c>
      <c r="P46" s="41">
        <f>8532.16</f>
        <v>8532.16</v>
      </c>
      <c r="Q46" s="41">
        <v>9731</v>
      </c>
      <c r="R46" s="41">
        <v>10620.44</v>
      </c>
      <c r="S46" s="41">
        <v>16380.38</v>
      </c>
      <c r="T46" s="41"/>
      <c r="U46" s="41"/>
      <c r="V46" s="41"/>
    </row>
    <row r="47" spans="2:22" ht="39.75" customHeight="1" x14ac:dyDescent="0.2">
      <c r="B47" s="19"/>
      <c r="C47" s="16" t="s">
        <v>91</v>
      </c>
      <c r="D47" s="16">
        <v>2014</v>
      </c>
      <c r="E47" s="38" t="s">
        <v>43</v>
      </c>
      <c r="F47" s="7" t="s">
        <v>92</v>
      </c>
      <c r="G47" s="16" t="s">
        <v>88</v>
      </c>
      <c r="H47" s="16" t="s">
        <v>93</v>
      </c>
      <c r="I47" s="38" t="s">
        <v>94</v>
      </c>
      <c r="J47" s="17">
        <v>43333</v>
      </c>
      <c r="K47" s="41">
        <f>33826.32+33826.32</f>
        <v>67652.639999999999</v>
      </c>
      <c r="L47" s="41">
        <v>33826.32</v>
      </c>
      <c r="M47" s="41">
        <v>0</v>
      </c>
      <c r="N47" s="41">
        <f>33826.32+33826.32</f>
        <v>67652.639999999999</v>
      </c>
      <c r="O47" s="41">
        <v>33826.32</v>
      </c>
      <c r="P47" s="41">
        <v>0</v>
      </c>
      <c r="Q47" s="41">
        <v>0</v>
      </c>
      <c r="R47" s="41">
        <v>101478.96</v>
      </c>
      <c r="S47" s="41"/>
      <c r="T47" s="41"/>
      <c r="U47" s="41"/>
      <c r="V47" s="41"/>
    </row>
    <row r="48" spans="2:22" ht="39.75" customHeight="1" x14ac:dyDescent="0.2">
      <c r="B48" s="19"/>
      <c r="C48" s="16" t="s">
        <v>913</v>
      </c>
      <c r="D48" s="16">
        <v>2019</v>
      </c>
      <c r="E48" s="38"/>
      <c r="F48" s="7" t="s">
        <v>914</v>
      </c>
      <c r="G48" s="16" t="s">
        <v>88</v>
      </c>
      <c r="H48" s="16" t="s">
        <v>915</v>
      </c>
      <c r="I48" s="38"/>
      <c r="J48" s="17" t="s">
        <v>245</v>
      </c>
      <c r="K48" s="41" t="s">
        <v>245</v>
      </c>
      <c r="L48" s="41" t="s">
        <v>245</v>
      </c>
      <c r="M48" s="41" t="s">
        <v>245</v>
      </c>
      <c r="N48" s="41" t="s">
        <v>245</v>
      </c>
      <c r="O48" s="41" t="s">
        <v>245</v>
      </c>
      <c r="P48" s="41" t="s">
        <v>245</v>
      </c>
      <c r="Q48" s="41" t="s">
        <v>245</v>
      </c>
      <c r="R48" s="41"/>
      <c r="S48" s="41"/>
      <c r="T48" s="41"/>
      <c r="U48" s="41"/>
      <c r="V48" s="41"/>
    </row>
    <row r="49" spans="2:22" ht="39.75" customHeight="1" x14ac:dyDescent="0.2">
      <c r="B49" s="19"/>
      <c r="C49" s="16" t="s">
        <v>923</v>
      </c>
      <c r="D49" s="16">
        <v>2018</v>
      </c>
      <c r="E49" s="38"/>
      <c r="F49" s="7" t="s">
        <v>924</v>
      </c>
      <c r="G49" s="16" t="s">
        <v>88</v>
      </c>
      <c r="H49" s="16" t="s">
        <v>925</v>
      </c>
      <c r="I49" s="38"/>
      <c r="J49" s="17"/>
      <c r="K49" s="41"/>
      <c r="L49" s="41"/>
      <c r="M49" s="41"/>
      <c r="N49" s="41"/>
      <c r="O49" s="41"/>
      <c r="P49" s="41"/>
      <c r="Q49" s="41"/>
      <c r="R49" s="41">
        <v>5016</v>
      </c>
      <c r="S49" s="41"/>
      <c r="T49" s="41"/>
      <c r="U49" s="41"/>
      <c r="V49" s="41"/>
    </row>
    <row r="50" spans="2:22" ht="39.75" customHeight="1" x14ac:dyDescent="0.2">
      <c r="B50" s="44" t="s">
        <v>776</v>
      </c>
      <c r="C50" s="16" t="s">
        <v>98</v>
      </c>
      <c r="D50" s="16">
        <v>2013</v>
      </c>
      <c r="E50" s="38" t="s">
        <v>12</v>
      </c>
      <c r="F50" s="7" t="s">
        <v>289</v>
      </c>
      <c r="G50" s="16" t="s">
        <v>99</v>
      </c>
      <c r="H50" s="16" t="s">
        <v>100</v>
      </c>
      <c r="I50" s="38" t="s">
        <v>101</v>
      </c>
      <c r="J50" s="17">
        <v>43464</v>
      </c>
      <c r="K50" s="41">
        <v>1919.03</v>
      </c>
      <c r="L50" s="41">
        <v>12047.04</v>
      </c>
      <c r="M50" s="42" t="s">
        <v>245</v>
      </c>
      <c r="N50" s="42" t="s">
        <v>245</v>
      </c>
      <c r="O50" s="41" t="s">
        <v>245</v>
      </c>
      <c r="P50" s="41" t="s">
        <v>245</v>
      </c>
      <c r="Q50" s="41" t="s">
        <v>245</v>
      </c>
      <c r="R50" s="41" t="s">
        <v>245</v>
      </c>
      <c r="S50" s="41"/>
      <c r="T50" s="41"/>
      <c r="U50" s="41"/>
      <c r="V50" s="41"/>
    </row>
    <row r="51" spans="2:22" ht="39.75" customHeight="1" x14ac:dyDescent="0.2">
      <c r="B51" s="44" t="s">
        <v>776</v>
      </c>
      <c r="C51" s="16" t="s">
        <v>102</v>
      </c>
      <c r="D51" s="16">
        <v>2013</v>
      </c>
      <c r="E51" s="38" t="s">
        <v>12</v>
      </c>
      <c r="F51" s="7" t="s">
        <v>290</v>
      </c>
      <c r="G51" s="16" t="s">
        <v>99</v>
      </c>
      <c r="H51" s="16" t="s">
        <v>100</v>
      </c>
      <c r="I51" s="38" t="s">
        <v>103</v>
      </c>
      <c r="J51" s="17">
        <v>43464</v>
      </c>
      <c r="K51" s="41">
        <f>1159.67+1634.18</f>
        <v>2793.8500000000004</v>
      </c>
      <c r="L51" s="42" t="s">
        <v>245</v>
      </c>
      <c r="M51" s="42" t="s">
        <v>245</v>
      </c>
      <c r="N51" s="42" t="s">
        <v>245</v>
      </c>
      <c r="O51" s="41" t="s">
        <v>245</v>
      </c>
      <c r="P51" s="41" t="s">
        <v>245</v>
      </c>
      <c r="Q51" s="41" t="s">
        <v>245</v>
      </c>
      <c r="R51" s="41" t="s">
        <v>245</v>
      </c>
      <c r="S51" s="41"/>
      <c r="T51" s="41"/>
      <c r="U51" s="41"/>
      <c r="V51" s="41"/>
    </row>
    <row r="52" spans="2:22" ht="39.75" customHeight="1" x14ac:dyDescent="0.2">
      <c r="B52" s="19"/>
      <c r="C52" s="16" t="s">
        <v>682</v>
      </c>
      <c r="D52" s="16">
        <v>2018</v>
      </c>
      <c r="E52" s="38"/>
      <c r="F52" s="7" t="s">
        <v>681</v>
      </c>
      <c r="G52" s="16" t="s">
        <v>99</v>
      </c>
      <c r="H52" s="16" t="s">
        <v>683</v>
      </c>
      <c r="I52" s="38"/>
      <c r="J52" s="17">
        <v>43790</v>
      </c>
      <c r="K52" s="41">
        <v>0</v>
      </c>
      <c r="L52" s="41">
        <v>16852.04</v>
      </c>
      <c r="M52" s="41">
        <v>0</v>
      </c>
      <c r="N52" s="42">
        <v>0</v>
      </c>
      <c r="O52" s="41">
        <v>78785.67</v>
      </c>
      <c r="P52" s="41">
        <f>22158.09</f>
        <v>22158.09</v>
      </c>
      <c r="Q52" s="41">
        <f>13879.53</f>
        <v>13879.53</v>
      </c>
      <c r="R52" s="41"/>
      <c r="S52" s="41">
        <v>22475.19</v>
      </c>
      <c r="T52" s="41"/>
      <c r="U52" s="41"/>
      <c r="V52" s="41"/>
    </row>
    <row r="53" spans="2:22" ht="39.75" customHeight="1" x14ac:dyDescent="0.2">
      <c r="B53" s="19"/>
      <c r="C53" s="16" t="s">
        <v>720</v>
      </c>
      <c r="D53" s="16">
        <v>2019</v>
      </c>
      <c r="E53" s="38"/>
      <c r="F53" s="7" t="s">
        <v>724</v>
      </c>
      <c r="G53" s="16" t="s">
        <v>99</v>
      </c>
      <c r="H53" s="16" t="s">
        <v>683</v>
      </c>
      <c r="I53" s="38"/>
      <c r="J53" s="17" t="s">
        <v>725</v>
      </c>
      <c r="K53" s="41">
        <v>0</v>
      </c>
      <c r="L53" s="42">
        <v>0</v>
      </c>
      <c r="M53" s="41">
        <v>0</v>
      </c>
      <c r="N53" s="42">
        <v>0</v>
      </c>
      <c r="O53" s="41">
        <v>0</v>
      </c>
      <c r="P53" s="41">
        <f>2426.24</f>
        <v>2426.2399999999998</v>
      </c>
      <c r="Q53" s="41">
        <f>41056.13</f>
        <v>41056.129999999997</v>
      </c>
      <c r="R53" s="41">
        <v>5945.51</v>
      </c>
      <c r="S53" s="41"/>
      <c r="T53" s="41"/>
      <c r="U53" s="41"/>
      <c r="V53" s="41"/>
    </row>
    <row r="54" spans="2:22" ht="39.75" customHeight="1" x14ac:dyDescent="0.2">
      <c r="B54" s="19"/>
      <c r="C54" s="16" t="s">
        <v>684</v>
      </c>
      <c r="D54" s="16">
        <v>2018</v>
      </c>
      <c r="E54" s="38"/>
      <c r="F54" s="7" t="s">
        <v>686</v>
      </c>
      <c r="G54" s="16" t="s">
        <v>685</v>
      </c>
      <c r="H54" s="16" t="s">
        <v>683</v>
      </c>
      <c r="I54" s="38"/>
      <c r="J54" s="17">
        <v>43790</v>
      </c>
      <c r="K54" s="41">
        <v>0</v>
      </c>
      <c r="L54" s="42">
        <v>0</v>
      </c>
      <c r="M54" s="41">
        <v>0</v>
      </c>
      <c r="N54" s="41">
        <v>0</v>
      </c>
      <c r="O54" s="41">
        <v>0</v>
      </c>
      <c r="P54" s="41">
        <v>0</v>
      </c>
      <c r="Q54" s="41">
        <v>0</v>
      </c>
      <c r="R54" s="41"/>
      <c r="S54" s="41">
        <f>2012.24+37.43</f>
        <v>2049.67</v>
      </c>
      <c r="T54" s="41"/>
      <c r="U54" s="41"/>
      <c r="V54" s="41"/>
    </row>
    <row r="55" spans="2:22" ht="39.75" customHeight="1" x14ac:dyDescent="0.2">
      <c r="B55" s="19"/>
      <c r="C55" s="16" t="s">
        <v>370</v>
      </c>
      <c r="D55" s="16">
        <v>2018</v>
      </c>
      <c r="E55" s="38"/>
      <c r="F55" s="7" t="s">
        <v>110</v>
      </c>
      <c r="G55" s="16" t="s">
        <v>111</v>
      </c>
      <c r="H55" s="16" t="s">
        <v>371</v>
      </c>
      <c r="I55" s="38"/>
      <c r="J55" s="17" t="s">
        <v>291</v>
      </c>
      <c r="K55" s="41">
        <v>21901.33</v>
      </c>
      <c r="L55" s="41">
        <v>23425</v>
      </c>
      <c r="M55" s="41">
        <f>31675.06</f>
        <v>31675.06</v>
      </c>
      <c r="N55" s="41">
        <f>24711.63</f>
        <v>24711.63</v>
      </c>
      <c r="O55" s="41">
        <f>24099.51</f>
        <v>24099.51</v>
      </c>
      <c r="P55" s="41">
        <f>27501.61</f>
        <v>27501.61</v>
      </c>
      <c r="Q55" s="41">
        <f>22273.8</f>
        <v>22273.8</v>
      </c>
      <c r="R55" s="41">
        <f>24014.41</f>
        <v>24014.41</v>
      </c>
      <c r="S55" s="41">
        <v>24921.360000000001</v>
      </c>
      <c r="T55" s="41"/>
      <c r="U55" s="41"/>
      <c r="V55" s="41"/>
    </row>
    <row r="56" spans="2:22" ht="39.75" customHeight="1" x14ac:dyDescent="0.2">
      <c r="B56" s="19"/>
      <c r="C56" s="16" t="s">
        <v>555</v>
      </c>
      <c r="D56" s="16">
        <v>2018</v>
      </c>
      <c r="E56" s="38"/>
      <c r="F56" s="7" t="s">
        <v>556</v>
      </c>
      <c r="G56" s="16" t="s">
        <v>557</v>
      </c>
      <c r="H56" s="16" t="s">
        <v>558</v>
      </c>
      <c r="I56" s="38"/>
      <c r="J56" s="17">
        <v>43663</v>
      </c>
      <c r="K56" s="41">
        <v>0</v>
      </c>
      <c r="L56" s="42">
        <v>0</v>
      </c>
      <c r="M56" s="41">
        <v>165000</v>
      </c>
      <c r="N56" s="41">
        <v>0</v>
      </c>
      <c r="O56" s="41">
        <v>0</v>
      </c>
      <c r="P56" s="41">
        <v>0</v>
      </c>
      <c r="Q56" s="41">
        <v>0</v>
      </c>
      <c r="R56" s="41"/>
      <c r="S56" s="41"/>
      <c r="T56" s="41"/>
      <c r="U56" s="41"/>
      <c r="V56" s="41"/>
    </row>
    <row r="57" spans="2:22" ht="39.75" customHeight="1" x14ac:dyDescent="0.2">
      <c r="B57" s="43"/>
      <c r="C57" s="16" t="s">
        <v>559</v>
      </c>
      <c r="D57" s="16">
        <v>2018</v>
      </c>
      <c r="E57" s="38"/>
      <c r="F57" s="7" t="s">
        <v>560</v>
      </c>
      <c r="G57" s="16" t="s">
        <v>561</v>
      </c>
      <c r="H57" s="16" t="s">
        <v>562</v>
      </c>
      <c r="I57" s="38"/>
      <c r="J57" s="17">
        <v>43602</v>
      </c>
      <c r="K57" s="41">
        <v>0</v>
      </c>
      <c r="L57" s="42">
        <v>0</v>
      </c>
      <c r="M57" s="41">
        <v>0</v>
      </c>
      <c r="N57" s="41">
        <v>0</v>
      </c>
      <c r="O57" s="41">
        <v>0</v>
      </c>
      <c r="P57" s="41">
        <v>0</v>
      </c>
      <c r="Q57" s="41">
        <v>0</v>
      </c>
      <c r="R57" s="41"/>
      <c r="S57" s="41"/>
      <c r="T57" s="41"/>
      <c r="U57" s="41"/>
      <c r="V57" s="41"/>
    </row>
    <row r="58" spans="2:22" ht="39.75" customHeight="1" x14ac:dyDescent="0.2">
      <c r="B58" s="19"/>
      <c r="C58" s="16" t="s">
        <v>454</v>
      </c>
      <c r="D58" s="16">
        <v>2018</v>
      </c>
      <c r="E58" s="38"/>
      <c r="F58" s="7" t="s">
        <v>455</v>
      </c>
      <c r="G58" s="16" t="s">
        <v>456</v>
      </c>
      <c r="H58" s="16" t="s">
        <v>457</v>
      </c>
      <c r="I58" s="38"/>
      <c r="J58" s="17">
        <v>43616</v>
      </c>
      <c r="K58" s="41">
        <v>0</v>
      </c>
      <c r="L58" s="41">
        <v>117074.41</v>
      </c>
      <c r="M58" s="41">
        <f>136777.76</f>
        <v>136777.76</v>
      </c>
      <c r="N58" s="41">
        <f>113461.08</f>
        <v>113461.08</v>
      </c>
      <c r="O58" s="41">
        <f>124552.87</f>
        <v>124552.87</v>
      </c>
      <c r="P58" s="41">
        <f>128569.08</f>
        <v>128569.08</v>
      </c>
      <c r="Q58" s="41">
        <f>131716.58</f>
        <v>131716.57999999999</v>
      </c>
      <c r="R58" s="41"/>
      <c r="S58" s="41">
        <f>118383.77+206941.83</f>
        <v>325325.59999999998</v>
      </c>
      <c r="T58" s="41"/>
      <c r="U58" s="41"/>
      <c r="V58" s="41"/>
    </row>
    <row r="59" spans="2:22" ht="39.75" customHeight="1" x14ac:dyDescent="0.2">
      <c r="B59" s="19"/>
      <c r="C59" s="16" t="s">
        <v>246</v>
      </c>
      <c r="D59" s="16">
        <v>2017</v>
      </c>
      <c r="E59" s="38"/>
      <c r="F59" s="7" t="s">
        <v>247</v>
      </c>
      <c r="G59" s="16" t="s">
        <v>248</v>
      </c>
      <c r="H59" s="16" t="s">
        <v>853</v>
      </c>
      <c r="I59" s="38"/>
      <c r="J59" s="17">
        <v>43676</v>
      </c>
      <c r="K59" s="41">
        <v>778.32</v>
      </c>
      <c r="L59" s="41">
        <v>744</v>
      </c>
      <c r="M59" s="41">
        <v>0</v>
      </c>
      <c r="N59" s="41">
        <f>710.64+727.56</f>
        <v>1438.1999999999998</v>
      </c>
      <c r="O59" s="41">
        <f>795.24</f>
        <v>795.24</v>
      </c>
      <c r="P59" s="41">
        <f>896.76</f>
        <v>896.76</v>
      </c>
      <c r="Q59" s="41">
        <f>879.84</f>
        <v>879.84</v>
      </c>
      <c r="R59" s="41">
        <v>862.92</v>
      </c>
      <c r="S59" s="41">
        <v>930.6</v>
      </c>
      <c r="T59" s="41"/>
      <c r="U59" s="41"/>
      <c r="V59" s="41"/>
    </row>
    <row r="60" spans="2:22" ht="39.75" customHeight="1" x14ac:dyDescent="0.2">
      <c r="B60" s="19"/>
      <c r="C60" s="16" t="s">
        <v>269</v>
      </c>
      <c r="D60" s="16">
        <v>2017</v>
      </c>
      <c r="E60" s="38"/>
      <c r="F60" s="7" t="s">
        <v>270</v>
      </c>
      <c r="G60" s="16" t="s">
        <v>271</v>
      </c>
      <c r="H60" s="16" t="s">
        <v>272</v>
      </c>
      <c r="I60" s="38"/>
      <c r="J60" s="17">
        <v>43631</v>
      </c>
      <c r="K60" s="41">
        <v>1875</v>
      </c>
      <c r="L60" s="41">
        <v>1875</v>
      </c>
      <c r="M60" s="41">
        <v>1875</v>
      </c>
      <c r="N60" s="41">
        <v>1875</v>
      </c>
      <c r="O60" s="41">
        <v>1875</v>
      </c>
      <c r="P60" s="41">
        <v>0</v>
      </c>
      <c r="Q60" s="41">
        <f>1875+1875</f>
        <v>3750</v>
      </c>
      <c r="R60" s="41">
        <v>1875</v>
      </c>
      <c r="S60" s="41"/>
      <c r="T60" s="41"/>
      <c r="U60" s="41"/>
      <c r="V60" s="41"/>
    </row>
    <row r="61" spans="2:22" ht="39.75" customHeight="1" x14ac:dyDescent="0.2">
      <c r="B61" s="19"/>
      <c r="C61" s="16" t="s">
        <v>123</v>
      </c>
      <c r="D61" s="16">
        <v>2016</v>
      </c>
      <c r="E61" s="38" t="s">
        <v>12</v>
      </c>
      <c r="F61" s="7" t="s">
        <v>124</v>
      </c>
      <c r="G61" s="16" t="s">
        <v>125</v>
      </c>
      <c r="H61" s="16" t="s">
        <v>726</v>
      </c>
      <c r="I61" s="38" t="s">
        <v>126</v>
      </c>
      <c r="J61" s="17">
        <v>43769</v>
      </c>
      <c r="K61" s="41">
        <v>0</v>
      </c>
      <c r="L61" s="41">
        <f>2297.95+7855.12+5555.63</f>
        <v>15708.7</v>
      </c>
      <c r="M61" s="41">
        <v>0</v>
      </c>
      <c r="N61" s="41">
        <f>8116.6</f>
        <v>8116.6</v>
      </c>
      <c r="O61" s="41">
        <f>10565.64</f>
        <v>10565.64</v>
      </c>
      <c r="P61" s="41">
        <v>0</v>
      </c>
      <c r="Q61" s="41">
        <v>0</v>
      </c>
      <c r="R61" s="41"/>
      <c r="S61" s="41"/>
      <c r="T61" s="41"/>
      <c r="U61" s="41"/>
      <c r="V61" s="41"/>
    </row>
    <row r="62" spans="2:22" ht="39.75" customHeight="1" x14ac:dyDescent="0.2">
      <c r="B62" s="19"/>
      <c r="C62" s="16" t="s">
        <v>769</v>
      </c>
      <c r="D62" s="16">
        <v>2011</v>
      </c>
      <c r="E62" s="38"/>
      <c r="F62" s="7" t="s">
        <v>124</v>
      </c>
      <c r="G62" s="16" t="s">
        <v>128</v>
      </c>
      <c r="H62" s="16" t="s">
        <v>245</v>
      </c>
      <c r="I62" s="38"/>
      <c r="J62" s="23" t="s">
        <v>823</v>
      </c>
      <c r="K62" s="41">
        <v>0</v>
      </c>
      <c r="L62" s="41">
        <v>0</v>
      </c>
      <c r="M62" s="41">
        <v>0</v>
      </c>
      <c r="N62" s="41">
        <v>0</v>
      </c>
      <c r="O62" s="41">
        <v>0</v>
      </c>
      <c r="P62" s="41">
        <v>0</v>
      </c>
      <c r="Q62" s="41">
        <v>0</v>
      </c>
      <c r="R62" s="41"/>
      <c r="S62" s="41"/>
      <c r="T62" s="41"/>
      <c r="U62" s="41"/>
      <c r="V62" s="41"/>
    </row>
    <row r="63" spans="2:22" ht="39.75" customHeight="1" x14ac:dyDescent="0.2">
      <c r="B63" s="19"/>
      <c r="C63" s="16" t="s">
        <v>127</v>
      </c>
      <c r="D63" s="16">
        <v>2013</v>
      </c>
      <c r="E63" s="38" t="s">
        <v>43</v>
      </c>
      <c r="F63" s="7" t="s">
        <v>292</v>
      </c>
      <c r="G63" s="16" t="s">
        <v>128</v>
      </c>
      <c r="H63" s="16" t="s">
        <v>245</v>
      </c>
      <c r="I63" s="38" t="s">
        <v>130</v>
      </c>
      <c r="J63" s="23" t="s">
        <v>329</v>
      </c>
      <c r="K63" s="41">
        <v>0</v>
      </c>
      <c r="L63" s="42">
        <v>0</v>
      </c>
      <c r="M63" s="41">
        <v>0</v>
      </c>
      <c r="N63" s="41">
        <v>0</v>
      </c>
      <c r="O63" s="41">
        <v>0</v>
      </c>
      <c r="P63" s="41">
        <v>0</v>
      </c>
      <c r="Q63" s="41">
        <v>0</v>
      </c>
      <c r="R63" s="41"/>
      <c r="S63" s="41"/>
      <c r="T63" s="41"/>
      <c r="U63" s="41"/>
      <c r="V63" s="41"/>
    </row>
    <row r="64" spans="2:22" ht="39.75" customHeight="1" x14ac:dyDescent="0.2">
      <c r="B64" s="19"/>
      <c r="C64" s="16" t="s">
        <v>152</v>
      </c>
      <c r="D64" s="16">
        <v>2015</v>
      </c>
      <c r="E64" s="38" t="s">
        <v>43</v>
      </c>
      <c r="F64" s="7" t="s">
        <v>293</v>
      </c>
      <c r="G64" s="16" t="s">
        <v>128</v>
      </c>
      <c r="H64" s="16" t="s">
        <v>824</v>
      </c>
      <c r="I64" s="38" t="s">
        <v>153</v>
      </c>
      <c r="J64" s="17">
        <v>44082</v>
      </c>
      <c r="K64" s="41">
        <v>0</v>
      </c>
      <c r="L64" s="42">
        <v>0</v>
      </c>
      <c r="M64" s="41">
        <v>0</v>
      </c>
      <c r="N64" s="41">
        <f>3142854.64</f>
        <v>3142854.64</v>
      </c>
      <c r="O64" s="41">
        <v>0</v>
      </c>
      <c r="P64" s="41">
        <v>0</v>
      </c>
      <c r="Q64" s="41">
        <v>0</v>
      </c>
      <c r="R64" s="41"/>
      <c r="S64" s="41"/>
      <c r="T64" s="41"/>
      <c r="U64" s="41"/>
      <c r="V64" s="41"/>
    </row>
    <row r="65" spans="2:22" ht="39.75" customHeight="1" x14ac:dyDescent="0.2">
      <c r="B65" s="19"/>
      <c r="C65" s="16" t="s">
        <v>713</v>
      </c>
      <c r="D65" s="16">
        <v>2018</v>
      </c>
      <c r="E65" s="38"/>
      <c r="F65" s="7" t="s">
        <v>716</v>
      </c>
      <c r="G65" s="16" t="s">
        <v>128</v>
      </c>
      <c r="H65" s="16" t="s">
        <v>714</v>
      </c>
      <c r="I65" s="38"/>
      <c r="J65" s="17">
        <v>44290</v>
      </c>
      <c r="K65" s="41">
        <v>0</v>
      </c>
      <c r="L65" s="42">
        <v>0</v>
      </c>
      <c r="M65" s="41">
        <v>0</v>
      </c>
      <c r="N65" s="41">
        <v>0</v>
      </c>
      <c r="O65" s="41">
        <v>1166461.3400000001</v>
      </c>
      <c r="P65" s="41">
        <v>0</v>
      </c>
      <c r="Q65" s="41">
        <v>0</v>
      </c>
      <c r="R65" s="41"/>
      <c r="S65" s="41"/>
      <c r="T65" s="41"/>
      <c r="U65" s="41"/>
      <c r="V65" s="41"/>
    </row>
    <row r="66" spans="2:22" ht="39.75" customHeight="1" x14ac:dyDescent="0.2">
      <c r="B66" s="19"/>
      <c r="C66" s="16" t="s">
        <v>715</v>
      </c>
      <c r="D66" s="16">
        <v>2018</v>
      </c>
      <c r="E66" s="38"/>
      <c r="F66" s="7" t="s">
        <v>717</v>
      </c>
      <c r="G66" s="16" t="s">
        <v>128</v>
      </c>
      <c r="H66" s="16" t="s">
        <v>718</v>
      </c>
      <c r="I66" s="38"/>
      <c r="J66" s="17">
        <v>45235</v>
      </c>
      <c r="K66" s="41">
        <v>0</v>
      </c>
      <c r="L66" s="42">
        <v>0</v>
      </c>
      <c r="M66" s="41">
        <v>0</v>
      </c>
      <c r="N66" s="41">
        <v>0</v>
      </c>
      <c r="O66" s="41">
        <v>0</v>
      </c>
      <c r="P66" s="41">
        <v>0</v>
      </c>
      <c r="Q66" s="41">
        <v>0</v>
      </c>
      <c r="R66" s="41"/>
      <c r="S66" s="41"/>
      <c r="T66" s="41"/>
      <c r="U66" s="41"/>
      <c r="V66" s="41"/>
    </row>
    <row r="67" spans="2:22" ht="39.75" customHeight="1" x14ac:dyDescent="0.2">
      <c r="B67" s="19"/>
      <c r="C67" s="16" t="s">
        <v>137</v>
      </c>
      <c r="D67" s="16">
        <v>2016</v>
      </c>
      <c r="E67" s="38" t="s">
        <v>12</v>
      </c>
      <c r="F67" s="7" t="s">
        <v>138</v>
      </c>
      <c r="G67" s="16" t="s">
        <v>139</v>
      </c>
      <c r="H67" s="16" t="s">
        <v>140</v>
      </c>
      <c r="I67" s="38" t="s">
        <v>141</v>
      </c>
      <c r="J67" s="17">
        <v>43814</v>
      </c>
      <c r="K67" s="41">
        <f>23321.51</f>
        <v>23321.51</v>
      </c>
      <c r="L67" s="42">
        <v>0</v>
      </c>
      <c r="M67" s="41">
        <f>8371.9</f>
        <v>8371.9</v>
      </c>
      <c r="N67" s="41">
        <f>6277.78</f>
        <v>6277.78</v>
      </c>
      <c r="O67" s="41">
        <v>0</v>
      </c>
      <c r="P67" s="41">
        <f>1898.39+18814.15</f>
        <v>20712.54</v>
      </c>
      <c r="Q67" s="41">
        <v>0</v>
      </c>
      <c r="R67" s="41">
        <f>41938.74+6683.71+4973.39</f>
        <v>53595.839999999997</v>
      </c>
      <c r="S67" s="41"/>
      <c r="T67" s="41"/>
      <c r="U67" s="41"/>
      <c r="V67" s="41"/>
    </row>
    <row r="68" spans="2:22" ht="39.75" customHeight="1" x14ac:dyDescent="0.2">
      <c r="B68" s="19"/>
      <c r="C68" s="16" t="s">
        <v>142</v>
      </c>
      <c r="D68" s="16">
        <v>2016</v>
      </c>
      <c r="E68" s="38" t="s">
        <v>12</v>
      </c>
      <c r="F68" s="7" t="s">
        <v>143</v>
      </c>
      <c r="G68" s="16" t="s">
        <v>144</v>
      </c>
      <c r="H68" s="16" t="s">
        <v>145</v>
      </c>
      <c r="I68" s="38" t="s">
        <v>146</v>
      </c>
      <c r="J68" s="17">
        <v>43814</v>
      </c>
      <c r="K68" s="41">
        <v>0</v>
      </c>
      <c r="L68" s="41">
        <f>12422.31+2703+34891.88+3723.17</f>
        <v>53740.359999999993</v>
      </c>
      <c r="M68" s="41">
        <f>3209.12+24381.75</f>
        <v>27590.87</v>
      </c>
      <c r="N68" s="41">
        <f>2208.09+36474.93</f>
        <v>38683.020000000004</v>
      </c>
      <c r="O68" s="41">
        <f>8190.73+4118.86+14710.27</f>
        <v>27019.86</v>
      </c>
      <c r="P68" s="41">
        <f>9091.98+10001.28</f>
        <v>19093.260000000002</v>
      </c>
      <c r="Q68" s="41">
        <f>7534.42+1254.29+21589.2</f>
        <v>30377.91</v>
      </c>
      <c r="R68" s="41">
        <v>17596.169999999998</v>
      </c>
      <c r="S68" s="41">
        <f>5979.79+8673.42+20155.1</f>
        <v>34808.31</v>
      </c>
      <c r="T68" s="41"/>
      <c r="U68" s="41"/>
      <c r="V68" s="41"/>
    </row>
    <row r="69" spans="2:22" ht="39.75" customHeight="1" x14ac:dyDescent="0.2">
      <c r="B69" s="44" t="s">
        <v>879</v>
      </c>
      <c r="C69" s="16" t="s">
        <v>147</v>
      </c>
      <c r="D69" s="16">
        <v>2015</v>
      </c>
      <c r="E69" s="38" t="s">
        <v>12</v>
      </c>
      <c r="F69" s="7" t="s">
        <v>148</v>
      </c>
      <c r="G69" s="16" t="s">
        <v>149</v>
      </c>
      <c r="H69" s="16" t="s">
        <v>150</v>
      </c>
      <c r="I69" s="38" t="s">
        <v>151</v>
      </c>
      <c r="J69" s="17">
        <v>43535</v>
      </c>
      <c r="K69" s="41" t="s">
        <v>245</v>
      </c>
      <c r="L69" s="59" t="s">
        <v>245</v>
      </c>
      <c r="M69" s="41" t="s">
        <v>245</v>
      </c>
      <c r="N69" s="41" t="s">
        <v>245</v>
      </c>
      <c r="O69" s="41" t="s">
        <v>245</v>
      </c>
      <c r="P69" s="41" t="s">
        <v>245</v>
      </c>
      <c r="Q69" s="41" t="s">
        <v>245</v>
      </c>
      <c r="R69" s="41" t="s">
        <v>245</v>
      </c>
      <c r="S69" s="41"/>
      <c r="T69" s="41"/>
      <c r="U69" s="41"/>
      <c r="V69" s="41"/>
    </row>
    <row r="70" spans="2:22" ht="39.75" customHeight="1" x14ac:dyDescent="0.2">
      <c r="B70" s="44" t="s">
        <v>776</v>
      </c>
      <c r="C70" s="16" t="s">
        <v>728</v>
      </c>
      <c r="D70" s="16">
        <v>2018</v>
      </c>
      <c r="E70" s="38"/>
      <c r="F70" s="7" t="s">
        <v>155</v>
      </c>
      <c r="G70" s="16" t="s">
        <v>156</v>
      </c>
      <c r="H70" s="16" t="s">
        <v>729</v>
      </c>
      <c r="I70" s="38"/>
      <c r="J70" s="23" t="s">
        <v>344</v>
      </c>
      <c r="K70" s="41">
        <v>0</v>
      </c>
      <c r="L70" s="42">
        <v>3009.43</v>
      </c>
      <c r="M70" s="42" t="s">
        <v>245</v>
      </c>
      <c r="N70" s="42" t="s">
        <v>245</v>
      </c>
      <c r="O70" s="41" t="s">
        <v>245</v>
      </c>
      <c r="P70" s="41" t="s">
        <v>245</v>
      </c>
      <c r="Q70" s="41" t="s">
        <v>245</v>
      </c>
      <c r="R70" s="41" t="s">
        <v>245</v>
      </c>
      <c r="S70" s="41"/>
      <c r="T70" s="41"/>
      <c r="U70" s="41"/>
      <c r="V70" s="41"/>
    </row>
    <row r="71" spans="2:22" ht="39.75" customHeight="1" x14ac:dyDescent="0.2">
      <c r="B71" s="19"/>
      <c r="C71" s="16" t="s">
        <v>770</v>
      </c>
      <c r="D71" s="16">
        <v>2019</v>
      </c>
      <c r="E71" s="38"/>
      <c r="F71" s="7" t="s">
        <v>155</v>
      </c>
      <c r="G71" s="16" t="s">
        <v>156</v>
      </c>
      <c r="H71" s="16" t="s">
        <v>771</v>
      </c>
      <c r="I71" s="38"/>
      <c r="J71" s="23" t="s">
        <v>721</v>
      </c>
      <c r="K71" s="42" t="s">
        <v>245</v>
      </c>
      <c r="L71" s="42" t="s">
        <v>245</v>
      </c>
      <c r="M71" s="42" t="s">
        <v>245</v>
      </c>
      <c r="N71" s="41">
        <f>2413.88</f>
        <v>2413.88</v>
      </c>
      <c r="O71" s="41">
        <v>3435.91</v>
      </c>
      <c r="P71" s="41">
        <f>3970.72</f>
        <v>3970.72</v>
      </c>
      <c r="Q71" s="41">
        <f>2244.12</f>
        <v>2244.12</v>
      </c>
      <c r="R71" s="41"/>
      <c r="S71" s="41"/>
      <c r="T71" s="41"/>
      <c r="U71" s="41"/>
      <c r="V71" s="41"/>
    </row>
    <row r="72" spans="2:22" ht="39.75" customHeight="1" x14ac:dyDescent="0.2">
      <c r="B72" s="19"/>
      <c r="C72" s="16">
        <v>2019</v>
      </c>
      <c r="D72" s="16">
        <v>2019</v>
      </c>
      <c r="E72" s="38"/>
      <c r="F72" s="7" t="s">
        <v>934</v>
      </c>
      <c r="G72" s="16" t="s">
        <v>935</v>
      </c>
      <c r="H72" s="16" t="s">
        <v>936</v>
      </c>
      <c r="I72" s="38"/>
      <c r="J72" s="23" t="s">
        <v>733</v>
      </c>
      <c r="K72" s="42">
        <v>0</v>
      </c>
      <c r="L72" s="42">
        <v>0</v>
      </c>
      <c r="M72" s="42">
        <v>0</v>
      </c>
      <c r="N72" s="41">
        <v>0</v>
      </c>
      <c r="O72" s="41">
        <v>0</v>
      </c>
      <c r="P72" s="41">
        <v>0</v>
      </c>
      <c r="Q72" s="41">
        <v>0</v>
      </c>
      <c r="R72" s="41">
        <v>0</v>
      </c>
      <c r="S72" s="41">
        <v>0</v>
      </c>
      <c r="T72" s="41"/>
      <c r="U72" s="41"/>
      <c r="V72" s="41"/>
    </row>
    <row r="73" spans="2:22" ht="39.75" customHeight="1" x14ac:dyDescent="0.2">
      <c r="B73" s="44" t="s">
        <v>776</v>
      </c>
      <c r="C73" s="16" t="s">
        <v>159</v>
      </c>
      <c r="D73" s="16">
        <v>2014</v>
      </c>
      <c r="E73" s="38" t="s">
        <v>12</v>
      </c>
      <c r="F73" s="7" t="s">
        <v>160</v>
      </c>
      <c r="G73" s="16" t="s">
        <v>161</v>
      </c>
      <c r="H73" s="16" t="s">
        <v>162</v>
      </c>
      <c r="I73" s="38" t="s">
        <v>163</v>
      </c>
      <c r="J73" s="17">
        <v>43633</v>
      </c>
      <c r="K73" s="41">
        <f>4077.4+8374.9</f>
        <v>12452.3</v>
      </c>
      <c r="L73" s="41">
        <f>5370.64+2945</f>
        <v>8315.64</v>
      </c>
      <c r="M73" s="41">
        <v>0</v>
      </c>
      <c r="N73" s="41">
        <v>1606</v>
      </c>
      <c r="O73" s="41">
        <v>0</v>
      </c>
      <c r="P73" s="41">
        <f>3589.25+17197.53</f>
        <v>20786.78</v>
      </c>
      <c r="Q73" s="59" t="s">
        <v>245</v>
      </c>
      <c r="R73" s="59" t="s">
        <v>245</v>
      </c>
      <c r="S73" s="41"/>
      <c r="T73" s="41"/>
      <c r="U73" s="41"/>
      <c r="V73" s="41"/>
    </row>
    <row r="74" spans="2:22" ht="39.75" customHeight="1" x14ac:dyDescent="0.2">
      <c r="B74" s="19"/>
      <c r="C74" s="16" t="s">
        <v>164</v>
      </c>
      <c r="D74" s="16">
        <v>2017</v>
      </c>
      <c r="E74" s="38" t="s">
        <v>54</v>
      </c>
      <c r="F74" s="7" t="s">
        <v>165</v>
      </c>
      <c r="G74" s="16" t="s">
        <v>166</v>
      </c>
      <c r="H74" s="16" t="s">
        <v>167</v>
      </c>
      <c r="I74" s="38" t="s">
        <v>168</v>
      </c>
      <c r="J74" s="17">
        <v>43494</v>
      </c>
      <c r="K74" s="41">
        <v>5000</v>
      </c>
      <c r="L74" s="41">
        <v>9250</v>
      </c>
      <c r="M74" s="41">
        <v>18250</v>
      </c>
      <c r="N74" s="41">
        <v>11000</v>
      </c>
      <c r="O74" s="41">
        <v>4250</v>
      </c>
      <c r="P74" s="41">
        <v>0</v>
      </c>
      <c r="Q74" s="41">
        <f>5750+8250</f>
        <v>14000</v>
      </c>
      <c r="R74" s="41">
        <v>4500</v>
      </c>
      <c r="S74" s="41"/>
      <c r="T74" s="41"/>
      <c r="U74" s="41"/>
      <c r="V74" s="41"/>
    </row>
    <row r="75" spans="2:22" ht="39.75" customHeight="1" x14ac:dyDescent="0.2">
      <c r="B75" s="19"/>
      <c r="C75" s="16" t="s">
        <v>191</v>
      </c>
      <c r="D75" s="16">
        <v>2017</v>
      </c>
      <c r="E75" s="38"/>
      <c r="F75" s="7" t="s">
        <v>294</v>
      </c>
      <c r="G75" s="16" t="s">
        <v>259</v>
      </c>
      <c r="H75" s="16" t="s">
        <v>260</v>
      </c>
      <c r="I75" s="38"/>
      <c r="J75" s="17" t="s">
        <v>291</v>
      </c>
      <c r="K75" s="41">
        <v>166211.12</v>
      </c>
      <c r="L75" s="41">
        <v>166211.12</v>
      </c>
      <c r="M75" s="41">
        <v>166211.12</v>
      </c>
      <c r="N75" s="41">
        <v>166211.12</v>
      </c>
      <c r="O75" s="41">
        <v>166211.12</v>
      </c>
      <c r="P75" s="41">
        <f>166211.12</f>
        <v>166211.12</v>
      </c>
      <c r="Q75" s="41">
        <f>166211.12</f>
        <v>166211.12</v>
      </c>
      <c r="R75" s="41">
        <f>166211.12</f>
        <v>166211.12</v>
      </c>
      <c r="S75" s="41">
        <v>166211.12</v>
      </c>
      <c r="T75" s="41"/>
      <c r="U75" s="41"/>
      <c r="V75" s="41"/>
    </row>
    <row r="76" spans="2:22" ht="39.75" customHeight="1" x14ac:dyDescent="0.2">
      <c r="B76" s="19"/>
      <c r="C76" s="16" t="s">
        <v>174</v>
      </c>
      <c r="D76" s="16">
        <v>2016</v>
      </c>
      <c r="E76" s="38" t="s">
        <v>12</v>
      </c>
      <c r="F76" s="7" t="s">
        <v>175</v>
      </c>
      <c r="G76" s="16" t="s">
        <v>176</v>
      </c>
      <c r="H76" s="16" t="s">
        <v>121</v>
      </c>
      <c r="I76" s="38" t="s">
        <v>177</v>
      </c>
      <c r="J76" s="17">
        <v>43404</v>
      </c>
      <c r="K76" s="41">
        <f>360542.42</f>
        <v>360542.42</v>
      </c>
      <c r="L76" s="42">
        <v>0</v>
      </c>
      <c r="M76" s="41">
        <f>344679.57</f>
        <v>344679.57</v>
      </c>
      <c r="N76" s="41">
        <f>463348.53</f>
        <v>463348.53</v>
      </c>
      <c r="O76" s="41">
        <v>498066.9</v>
      </c>
      <c r="P76" s="41">
        <f>214667.82</f>
        <v>214667.82</v>
      </c>
      <c r="Q76" s="41">
        <v>0</v>
      </c>
      <c r="R76" s="41">
        <f>213093.96</f>
        <v>213093.96</v>
      </c>
      <c r="S76" s="41">
        <v>164074.98000000001</v>
      </c>
      <c r="T76" s="41"/>
      <c r="U76" s="41"/>
      <c r="V76" s="41"/>
    </row>
    <row r="77" spans="2:22" ht="39.75" customHeight="1" x14ac:dyDescent="0.2">
      <c r="B77" s="19"/>
      <c r="C77" s="25" t="s">
        <v>273</v>
      </c>
      <c r="D77" s="16">
        <v>2017</v>
      </c>
      <c r="E77" s="37"/>
      <c r="F77" s="8" t="s">
        <v>274</v>
      </c>
      <c r="G77" s="16" t="s">
        <v>275</v>
      </c>
      <c r="H77" s="25" t="s">
        <v>276</v>
      </c>
      <c r="I77" s="37"/>
      <c r="J77" s="17">
        <v>43649</v>
      </c>
      <c r="K77" s="41"/>
      <c r="L77" s="59"/>
      <c r="M77" s="41">
        <f>'[62]2018 - 2019'!$C$29+'[62]2018 - 2019'!$C$30+'[62]2018 - 2019'!$C$31+'[62]2018 - 2019'!$C$84+'[62]2018 - 2019'!$C$86</f>
        <v>39992.990000000005</v>
      </c>
      <c r="N77" s="41">
        <f>'[62]2018 - 2019'!$C$33+'[62]2018 - 2019'!$C$34+'[62]2018 - 2019'!$C$35+'[62]2018 - 2019'!$C$36+'[62]2018 - 2019'!$C$64+'[62]2018 - 2019'!$C$65+'[62]2018 - 2019'!$C$66+'[62]2018 - 2019'!$C$90+'[62]2018 - 2019'!$C$91+'[62]2018 - 2019'!$C$92</f>
        <v>44723.250000000007</v>
      </c>
      <c r="O77" s="41">
        <f>'[62]2018 - 2019'!$C$38+'[62]2018 - 2019'!$C$39+'[62]2018 - 2019'!$C$40+'[62]2018 - 2019'!$C$41</f>
        <v>12390.86</v>
      </c>
      <c r="P77" s="41">
        <f>'[62]2018 - 2019'!$C$27+'[62]2018 - 2019'!$C$43+'[62]2018 - 2019'!$C$44+'[62]2018 - 2019'!$C$45+'[62]2018 - 2019'!$C$46+'[62]2018 - 2019'!$C$47+'[62]2018 - 2019'!$C$62+'[62]2018 - 2019'!$C$73+'[62]2018 - 2019'!$C$74+'[62]2018 - 2019'!$C$76+'[62]2018 - 2019'!$C$77+'[62]2018 - 2019'!$C$100+'[62]2018 - 2019'!$C$101</f>
        <v>125373.48999999999</v>
      </c>
      <c r="Q77" s="41" t="e">
        <f>'[62]2018 - 2019'!$C$49+'[62]2018 - 2019'!$C$50+'[62]2018 - 2019'!$C$51+'[62]2018 - 2019'!$C$52+'[62]2018 - 2019'!$C$53+'[62]2018 - 2019'!$C$103+'[62]2018 - 2019'!$C$112+'[62]2018 - 2019'!$C$113</f>
        <v>#VALUE!</v>
      </c>
      <c r="R77" s="41">
        <f>92202.77</f>
        <v>92202.77</v>
      </c>
      <c r="S77" s="41"/>
      <c r="T77" s="41"/>
      <c r="U77" s="41"/>
      <c r="V77" s="41"/>
    </row>
    <row r="78" spans="2:22" ht="39.75" customHeight="1" x14ac:dyDescent="0.2">
      <c r="B78" s="44" t="s">
        <v>776</v>
      </c>
      <c r="C78" s="16" t="s">
        <v>689</v>
      </c>
      <c r="D78" s="16">
        <v>2018</v>
      </c>
      <c r="E78" s="38" t="s">
        <v>69</v>
      </c>
      <c r="F78" s="7" t="s">
        <v>178</v>
      </c>
      <c r="G78" s="16" t="s">
        <v>179</v>
      </c>
      <c r="H78" s="16" t="s">
        <v>180</v>
      </c>
      <c r="I78" s="38" t="s">
        <v>181</v>
      </c>
      <c r="J78" s="17">
        <v>43451</v>
      </c>
      <c r="K78" s="41">
        <v>51.3</v>
      </c>
      <c r="L78" s="42" t="s">
        <v>245</v>
      </c>
      <c r="M78" s="42" t="s">
        <v>245</v>
      </c>
      <c r="N78" s="42" t="s">
        <v>245</v>
      </c>
      <c r="O78" s="41" t="s">
        <v>245</v>
      </c>
      <c r="P78" s="59" t="s">
        <v>245</v>
      </c>
      <c r="Q78" s="59" t="s">
        <v>245</v>
      </c>
      <c r="R78" s="59" t="s">
        <v>245</v>
      </c>
      <c r="S78" s="41"/>
      <c r="T78" s="41"/>
      <c r="U78" s="41"/>
      <c r="V78" s="41"/>
    </row>
    <row r="79" spans="2:22" ht="39.75" customHeight="1" x14ac:dyDescent="0.2">
      <c r="B79" s="19"/>
      <c r="C79" s="16" t="s">
        <v>884</v>
      </c>
      <c r="D79" s="16">
        <v>2019</v>
      </c>
      <c r="E79" s="38" t="s">
        <v>69</v>
      </c>
      <c r="F79" s="7" t="s">
        <v>183</v>
      </c>
      <c r="G79" s="16" t="s">
        <v>207</v>
      </c>
      <c r="H79" s="16" t="s">
        <v>772</v>
      </c>
      <c r="I79" s="38" t="s">
        <v>186</v>
      </c>
      <c r="J79" s="23" t="s">
        <v>721</v>
      </c>
      <c r="K79" s="41">
        <v>0</v>
      </c>
      <c r="L79" s="42">
        <v>0</v>
      </c>
      <c r="M79" s="41">
        <v>42</v>
      </c>
      <c r="N79" s="41">
        <v>160</v>
      </c>
      <c r="O79" s="41">
        <v>0</v>
      </c>
      <c r="P79" s="41">
        <v>0</v>
      </c>
      <c r="Q79" s="41">
        <v>429</v>
      </c>
      <c r="R79" s="41">
        <v>170</v>
      </c>
      <c r="S79" s="41"/>
      <c r="T79" s="41"/>
      <c r="U79" s="41"/>
      <c r="V79" s="41"/>
    </row>
    <row r="80" spans="2:22" ht="39.75" customHeight="1" x14ac:dyDescent="0.2">
      <c r="B80" s="19"/>
      <c r="C80" s="16" t="s">
        <v>886</v>
      </c>
      <c r="D80" s="16">
        <v>2019</v>
      </c>
      <c r="E80" s="38"/>
      <c r="F80" s="7" t="s">
        <v>887</v>
      </c>
      <c r="G80" s="16" t="s">
        <v>184</v>
      </c>
      <c r="H80" s="16" t="s">
        <v>888</v>
      </c>
      <c r="I80" s="38"/>
      <c r="J80" s="23">
        <v>2019</v>
      </c>
      <c r="K80" s="41">
        <v>0</v>
      </c>
      <c r="L80" s="42">
        <v>0</v>
      </c>
      <c r="M80" s="41">
        <v>0</v>
      </c>
      <c r="N80" s="41">
        <v>0</v>
      </c>
      <c r="O80" s="41">
        <v>0</v>
      </c>
      <c r="P80" s="41">
        <v>0</v>
      </c>
      <c r="Q80" s="41">
        <v>700</v>
      </c>
      <c r="R80" s="41"/>
      <c r="S80" s="41"/>
      <c r="T80" s="41"/>
      <c r="U80" s="41"/>
      <c r="V80" s="41"/>
    </row>
    <row r="81" spans="2:22" ht="55.5" customHeight="1" x14ac:dyDescent="0.2">
      <c r="B81" s="19"/>
      <c r="C81" s="16" t="s">
        <v>885</v>
      </c>
      <c r="D81" s="16">
        <v>2018</v>
      </c>
      <c r="E81" s="38"/>
      <c r="F81" s="7" t="s">
        <v>773</v>
      </c>
      <c r="G81" s="16" t="s">
        <v>261</v>
      </c>
      <c r="H81" s="16" t="s">
        <v>774</v>
      </c>
      <c r="I81" s="38"/>
      <c r="J81" s="23" t="s">
        <v>733</v>
      </c>
      <c r="K81" s="41">
        <v>56250</v>
      </c>
      <c r="L81" s="42" t="s">
        <v>245</v>
      </c>
      <c r="M81" s="42" t="s">
        <v>245</v>
      </c>
      <c r="N81" s="42" t="s">
        <v>245</v>
      </c>
      <c r="O81" s="41">
        <v>56250</v>
      </c>
      <c r="P81" s="59" t="s">
        <v>245</v>
      </c>
      <c r="Q81" s="59" t="s">
        <v>245</v>
      </c>
      <c r="R81" s="41"/>
      <c r="S81" s="41"/>
      <c r="T81" s="41"/>
      <c r="U81" s="41"/>
      <c r="V81" s="41"/>
    </row>
    <row r="82" spans="2:22" ht="39.75" customHeight="1" x14ac:dyDescent="0.2">
      <c r="B82" s="43"/>
      <c r="C82" s="16" t="s">
        <v>878</v>
      </c>
      <c r="D82" s="16">
        <v>2019</v>
      </c>
      <c r="E82" s="38"/>
      <c r="F82" s="7" t="s">
        <v>877</v>
      </c>
      <c r="G82" s="16" t="s">
        <v>620</v>
      </c>
      <c r="H82" s="16" t="s">
        <v>732</v>
      </c>
      <c r="I82" s="38"/>
      <c r="J82" s="23" t="s">
        <v>733</v>
      </c>
      <c r="K82" s="41">
        <v>274.8</v>
      </c>
      <c r="L82" s="41">
        <v>109.3</v>
      </c>
      <c r="M82" s="41">
        <v>54.65</v>
      </c>
      <c r="N82" s="41">
        <f>768.82</f>
        <v>768.82</v>
      </c>
      <c r="O82" s="41">
        <v>0</v>
      </c>
      <c r="P82" s="41">
        <v>54.65</v>
      </c>
      <c r="Q82" s="41">
        <f>251.9+366.4</f>
        <v>618.29999999999995</v>
      </c>
      <c r="R82" s="41"/>
      <c r="S82" s="41"/>
      <c r="T82" s="41"/>
      <c r="U82" s="41"/>
      <c r="V82" s="41"/>
    </row>
    <row r="83" spans="2:22" ht="39.75" customHeight="1" x14ac:dyDescent="0.2">
      <c r="B83" s="19"/>
      <c r="C83" s="16" t="s">
        <v>857</v>
      </c>
      <c r="D83" s="16">
        <v>2019</v>
      </c>
      <c r="E83" s="38"/>
      <c r="F83" s="7" t="s">
        <v>518</v>
      </c>
      <c r="G83" s="16" t="s">
        <v>519</v>
      </c>
      <c r="H83" s="16" t="s">
        <v>747</v>
      </c>
      <c r="I83" s="38"/>
      <c r="J83" s="23" t="s">
        <v>733</v>
      </c>
      <c r="K83" s="41">
        <v>0</v>
      </c>
      <c r="L83" s="42">
        <v>0</v>
      </c>
      <c r="M83" s="41">
        <v>502.33</v>
      </c>
      <c r="N83" s="41">
        <f>465.13+753.88</f>
        <v>1219.01</v>
      </c>
      <c r="O83" s="41">
        <f>600.38+1922.22</f>
        <v>2522.6</v>
      </c>
      <c r="P83" s="41">
        <v>1214.24</v>
      </c>
      <c r="Q83" s="41">
        <v>0</v>
      </c>
      <c r="R83" s="41"/>
      <c r="S83" s="41"/>
      <c r="T83" s="41"/>
      <c r="U83" s="41"/>
      <c r="V83" s="41"/>
    </row>
    <row r="84" spans="2:22" ht="39.75" customHeight="1" x14ac:dyDescent="0.2">
      <c r="B84" s="19"/>
      <c r="C84" s="16" t="s">
        <v>858</v>
      </c>
      <c r="D84" s="16">
        <v>2019</v>
      </c>
      <c r="E84" s="38"/>
      <c r="F84" s="7" t="s">
        <v>748</v>
      </c>
      <c r="G84" s="16" t="s">
        <v>756</v>
      </c>
      <c r="H84" s="16" t="s">
        <v>757</v>
      </c>
      <c r="I84" s="38"/>
      <c r="J84" s="23" t="s">
        <v>733</v>
      </c>
      <c r="K84" s="41">
        <v>0</v>
      </c>
      <c r="L84" s="42">
        <v>0</v>
      </c>
      <c r="M84" s="41">
        <v>0</v>
      </c>
      <c r="N84" s="41">
        <v>0</v>
      </c>
      <c r="O84" s="41">
        <v>0</v>
      </c>
      <c r="P84" s="41">
        <v>0</v>
      </c>
      <c r="Q84" s="41">
        <v>0</v>
      </c>
      <c r="R84" s="41"/>
      <c r="S84" s="41"/>
      <c r="T84" s="41"/>
      <c r="U84" s="41"/>
      <c r="V84" s="41"/>
    </row>
    <row r="85" spans="2:22" ht="39.75" customHeight="1" x14ac:dyDescent="0.2">
      <c r="B85" s="44" t="s">
        <v>776</v>
      </c>
      <c r="C85" s="16" t="s">
        <v>873</v>
      </c>
      <c r="D85" s="16">
        <v>2019</v>
      </c>
      <c r="E85" s="38"/>
      <c r="F85" s="7" t="s">
        <v>874</v>
      </c>
      <c r="G85" s="16" t="s">
        <v>875</v>
      </c>
      <c r="H85" s="16" t="s">
        <v>876</v>
      </c>
      <c r="I85" s="38"/>
      <c r="J85" s="23" t="s">
        <v>733</v>
      </c>
      <c r="K85" s="41" t="s">
        <v>245</v>
      </c>
      <c r="L85" s="59" t="s">
        <v>245</v>
      </c>
      <c r="M85" s="41" t="s">
        <v>245</v>
      </c>
      <c r="N85" s="41" t="s">
        <v>245</v>
      </c>
      <c r="O85" s="41" t="s">
        <v>245</v>
      </c>
      <c r="P85" s="41">
        <v>14000</v>
      </c>
      <c r="Q85" s="41" t="s">
        <v>245</v>
      </c>
      <c r="R85" s="41" t="s">
        <v>245</v>
      </c>
      <c r="S85" s="41"/>
      <c r="T85" s="41"/>
      <c r="U85" s="41"/>
      <c r="V85" s="41"/>
    </row>
    <row r="86" spans="2:22" ht="39.75" customHeight="1" x14ac:dyDescent="0.2">
      <c r="B86" s="44" t="s">
        <v>776</v>
      </c>
      <c r="C86" s="16" t="s">
        <v>889</v>
      </c>
      <c r="D86" s="16">
        <v>2019</v>
      </c>
      <c r="E86" s="38"/>
      <c r="F86" s="7" t="s">
        <v>890</v>
      </c>
      <c r="G86" s="16" t="s">
        <v>891</v>
      </c>
      <c r="H86" s="16" t="s">
        <v>892</v>
      </c>
      <c r="I86" s="38"/>
      <c r="J86" s="23" t="s">
        <v>733</v>
      </c>
      <c r="K86" s="41">
        <v>0</v>
      </c>
      <c r="L86" s="59">
        <v>0</v>
      </c>
      <c r="M86" s="41">
        <v>0</v>
      </c>
      <c r="N86" s="41">
        <v>0</v>
      </c>
      <c r="O86" s="41">
        <v>0</v>
      </c>
      <c r="P86" s="41">
        <v>3476.5</v>
      </c>
      <c r="Q86" s="59" t="s">
        <v>245</v>
      </c>
      <c r="R86" s="59" t="s">
        <v>245</v>
      </c>
      <c r="S86" s="41"/>
      <c r="T86" s="41"/>
      <c r="U86" s="41"/>
      <c r="V86" s="41"/>
    </row>
    <row r="87" spans="2:22" ht="39.75" customHeight="1" x14ac:dyDescent="0.2">
      <c r="B87" s="44" t="s">
        <v>776</v>
      </c>
      <c r="C87" s="16" t="s">
        <v>893</v>
      </c>
      <c r="D87" s="16">
        <v>2019</v>
      </c>
      <c r="E87" s="38"/>
      <c r="F87" s="7" t="s">
        <v>894</v>
      </c>
      <c r="G87" s="16" t="s">
        <v>895</v>
      </c>
      <c r="H87" s="16" t="s">
        <v>896</v>
      </c>
      <c r="I87" s="38"/>
      <c r="J87" s="23" t="s">
        <v>733</v>
      </c>
      <c r="K87" s="41">
        <v>0</v>
      </c>
      <c r="L87" s="59">
        <v>0</v>
      </c>
      <c r="M87" s="41">
        <v>0</v>
      </c>
      <c r="N87" s="41">
        <v>0</v>
      </c>
      <c r="O87" s="41">
        <v>0</v>
      </c>
      <c r="P87" s="41">
        <v>0</v>
      </c>
      <c r="Q87" s="59">
        <v>21000</v>
      </c>
      <c r="R87" s="59" t="s">
        <v>245</v>
      </c>
      <c r="S87" s="41"/>
      <c r="T87" s="41"/>
      <c r="U87" s="41"/>
      <c r="V87" s="41"/>
    </row>
    <row r="88" spans="2:22" ht="39.75" customHeight="1" x14ac:dyDescent="0.2">
      <c r="B88" s="44" t="s">
        <v>776</v>
      </c>
      <c r="C88" s="16" t="s">
        <v>897</v>
      </c>
      <c r="D88" s="16">
        <v>2019</v>
      </c>
      <c r="E88" s="38"/>
      <c r="F88" s="7" t="s">
        <v>898</v>
      </c>
      <c r="G88" s="16" t="s">
        <v>648</v>
      </c>
      <c r="H88" s="16" t="s">
        <v>899</v>
      </c>
      <c r="I88" s="38"/>
      <c r="J88" s="23" t="s">
        <v>733</v>
      </c>
      <c r="K88" s="41">
        <v>0</v>
      </c>
      <c r="L88" s="59">
        <v>0</v>
      </c>
      <c r="M88" s="41">
        <v>0</v>
      </c>
      <c r="N88" s="41">
        <v>0</v>
      </c>
      <c r="O88" s="41">
        <v>0</v>
      </c>
      <c r="P88" s="41">
        <v>0</v>
      </c>
      <c r="Q88" s="59">
        <v>81.31</v>
      </c>
      <c r="R88" s="59" t="s">
        <v>245</v>
      </c>
      <c r="S88" s="41"/>
      <c r="T88" s="41"/>
      <c r="U88" s="41"/>
      <c r="V88" s="41"/>
    </row>
    <row r="89" spans="2:22" ht="39.75" customHeight="1" x14ac:dyDescent="0.2">
      <c r="B89" s="44" t="s">
        <v>776</v>
      </c>
      <c r="C89" s="16" t="s">
        <v>900</v>
      </c>
      <c r="D89" s="16">
        <v>2019</v>
      </c>
      <c r="E89" s="38"/>
      <c r="F89" s="7" t="s">
        <v>645</v>
      </c>
      <c r="G89" s="16" t="s">
        <v>508</v>
      </c>
      <c r="H89" s="16" t="s">
        <v>899</v>
      </c>
      <c r="I89" s="38"/>
      <c r="J89" s="23" t="s">
        <v>733</v>
      </c>
      <c r="K89" s="41">
        <v>0</v>
      </c>
      <c r="L89" s="59">
        <v>0</v>
      </c>
      <c r="M89" s="41">
        <v>0</v>
      </c>
      <c r="N89" s="41">
        <v>0</v>
      </c>
      <c r="O89" s="41">
        <v>0</v>
      </c>
      <c r="P89" s="41">
        <v>0</v>
      </c>
      <c r="Q89" s="59">
        <v>952.36</v>
      </c>
      <c r="R89" s="59"/>
      <c r="S89" s="41"/>
      <c r="T89" s="41"/>
      <c r="U89" s="41"/>
      <c r="V89" s="41"/>
    </row>
    <row r="90" spans="2:22" ht="39.75" customHeight="1" x14ac:dyDescent="0.2">
      <c r="B90" s="19"/>
      <c r="C90" s="16" t="s">
        <v>859</v>
      </c>
      <c r="D90" s="16">
        <v>2019</v>
      </c>
      <c r="E90" s="38"/>
      <c r="F90" s="7" t="s">
        <v>749</v>
      </c>
      <c r="G90" s="16" t="s">
        <v>703</v>
      </c>
      <c r="H90" s="16" t="s">
        <v>758</v>
      </c>
      <c r="I90" s="38"/>
      <c r="J90" s="23" t="s">
        <v>733</v>
      </c>
      <c r="K90" s="41">
        <v>0</v>
      </c>
      <c r="L90" s="42">
        <v>0</v>
      </c>
      <c r="M90" s="41">
        <v>0</v>
      </c>
      <c r="N90" s="41">
        <f>1034.65</f>
        <v>1034.6500000000001</v>
      </c>
      <c r="O90" s="41">
        <v>0</v>
      </c>
      <c r="P90" s="41">
        <v>0</v>
      </c>
      <c r="Q90" s="41">
        <v>0</v>
      </c>
      <c r="R90" s="41"/>
      <c r="S90" s="41"/>
      <c r="T90" s="41"/>
      <c r="U90" s="41"/>
      <c r="V90" s="41"/>
    </row>
    <row r="91" spans="2:22" ht="39.75" customHeight="1" x14ac:dyDescent="0.2">
      <c r="B91" s="19"/>
      <c r="C91" s="16" t="s">
        <v>860</v>
      </c>
      <c r="D91" s="16">
        <v>2019</v>
      </c>
      <c r="E91" s="38"/>
      <c r="F91" s="7" t="s">
        <v>759</v>
      </c>
      <c r="G91" s="16" t="s">
        <v>760</v>
      </c>
      <c r="H91" s="16" t="s">
        <v>761</v>
      </c>
      <c r="I91" s="38"/>
      <c r="J91" s="23" t="s">
        <v>733</v>
      </c>
      <c r="K91" s="41">
        <v>0</v>
      </c>
      <c r="L91" s="42">
        <v>0</v>
      </c>
      <c r="M91" s="41">
        <v>0</v>
      </c>
      <c r="N91" s="41">
        <v>0</v>
      </c>
      <c r="O91" s="41">
        <v>0</v>
      </c>
      <c r="P91" s="41">
        <v>0</v>
      </c>
      <c r="Q91" s="41">
        <v>0</v>
      </c>
      <c r="R91" s="41"/>
      <c r="S91" s="41"/>
      <c r="T91" s="41"/>
      <c r="U91" s="41"/>
      <c r="V91" s="41"/>
    </row>
    <row r="92" spans="2:22" ht="39.75" customHeight="1" x14ac:dyDescent="0.2">
      <c r="B92" s="19"/>
      <c r="C92" s="16" t="s">
        <v>861</v>
      </c>
      <c r="D92" s="16">
        <v>2019</v>
      </c>
      <c r="E92" s="38"/>
      <c r="F92" s="7" t="s">
        <v>750</v>
      </c>
      <c r="G92" s="16" t="s">
        <v>613</v>
      </c>
      <c r="H92" s="16" t="s">
        <v>762</v>
      </c>
      <c r="I92" s="38"/>
      <c r="J92" s="23" t="s">
        <v>733</v>
      </c>
      <c r="K92" s="41">
        <v>0</v>
      </c>
      <c r="L92" s="42">
        <v>0</v>
      </c>
      <c r="M92" s="41">
        <v>0</v>
      </c>
      <c r="N92" s="41">
        <v>0</v>
      </c>
      <c r="O92" s="41">
        <v>0</v>
      </c>
      <c r="P92" s="41">
        <v>0</v>
      </c>
      <c r="Q92" s="41">
        <v>0</v>
      </c>
      <c r="R92" s="41"/>
      <c r="S92" s="41"/>
      <c r="T92" s="41"/>
      <c r="U92" s="41"/>
      <c r="V92" s="41"/>
    </row>
    <row r="93" spans="2:22" ht="39.75" customHeight="1" x14ac:dyDescent="0.2">
      <c r="B93" s="43"/>
      <c r="C93" s="16" t="s">
        <v>862</v>
      </c>
      <c r="D93" s="16">
        <v>2019</v>
      </c>
      <c r="E93" s="38"/>
      <c r="F93" s="7" t="s">
        <v>751</v>
      </c>
      <c r="G93" s="16" t="s">
        <v>763</v>
      </c>
      <c r="H93" s="16" t="s">
        <v>764</v>
      </c>
      <c r="I93" s="38"/>
      <c r="J93" s="23" t="s">
        <v>733</v>
      </c>
      <c r="K93" s="41">
        <v>0</v>
      </c>
      <c r="L93" s="42">
        <v>0</v>
      </c>
      <c r="M93" s="41">
        <v>0</v>
      </c>
      <c r="N93" s="41">
        <v>0</v>
      </c>
      <c r="O93" s="41">
        <v>0</v>
      </c>
      <c r="P93" s="41">
        <v>0</v>
      </c>
      <c r="Q93" s="41">
        <v>0</v>
      </c>
      <c r="R93" s="41"/>
      <c r="S93" s="41"/>
      <c r="T93" s="41"/>
      <c r="U93" s="41"/>
      <c r="V93" s="41"/>
    </row>
    <row r="94" spans="2:22" ht="39.75" customHeight="1" x14ac:dyDescent="0.2">
      <c r="B94" s="44" t="s">
        <v>776</v>
      </c>
      <c r="C94" s="16" t="s">
        <v>863</v>
      </c>
      <c r="D94" s="16">
        <v>2018</v>
      </c>
      <c r="E94" s="38" t="s">
        <v>69</v>
      </c>
      <c r="F94" s="7" t="s">
        <v>201</v>
      </c>
      <c r="G94" s="16" t="s">
        <v>202</v>
      </c>
      <c r="H94" s="16" t="s">
        <v>416</v>
      </c>
      <c r="I94" s="38" t="s">
        <v>204</v>
      </c>
      <c r="J94" s="23" t="s">
        <v>329</v>
      </c>
      <c r="K94" s="41">
        <v>300</v>
      </c>
      <c r="L94" s="42" t="s">
        <v>245</v>
      </c>
      <c r="M94" s="42" t="s">
        <v>245</v>
      </c>
      <c r="N94" s="42" t="s">
        <v>245</v>
      </c>
      <c r="O94" s="42" t="s">
        <v>245</v>
      </c>
      <c r="P94" s="41" t="s">
        <v>245</v>
      </c>
      <c r="Q94" s="41" t="s">
        <v>245</v>
      </c>
      <c r="R94" s="41" t="s">
        <v>245</v>
      </c>
      <c r="S94" s="41"/>
      <c r="T94" s="41"/>
      <c r="U94" s="41"/>
      <c r="V94" s="41"/>
    </row>
    <row r="95" spans="2:22" ht="39.75" customHeight="1" x14ac:dyDescent="0.2">
      <c r="B95" s="19"/>
      <c r="C95" s="16" t="s">
        <v>864</v>
      </c>
      <c r="D95" s="16">
        <v>2019</v>
      </c>
      <c r="E95" s="38"/>
      <c r="F95" s="7" t="s">
        <v>201</v>
      </c>
      <c r="G95" s="16" t="s">
        <v>202</v>
      </c>
      <c r="H95" s="16" t="s">
        <v>775</v>
      </c>
      <c r="I95" s="38"/>
      <c r="J95" s="23" t="s">
        <v>733</v>
      </c>
      <c r="K95" s="41">
        <v>0</v>
      </c>
      <c r="L95" s="42">
        <v>0</v>
      </c>
      <c r="M95" s="41">
        <v>600</v>
      </c>
      <c r="N95" s="41">
        <v>0</v>
      </c>
      <c r="O95" s="41">
        <v>0</v>
      </c>
      <c r="P95" s="41">
        <v>900</v>
      </c>
      <c r="Q95" s="41">
        <v>300</v>
      </c>
      <c r="R95" s="41">
        <v>300</v>
      </c>
      <c r="S95" s="41"/>
      <c r="T95" s="41"/>
      <c r="U95" s="41"/>
      <c r="V95" s="41"/>
    </row>
    <row r="96" spans="2:22" ht="39.75" customHeight="1" x14ac:dyDescent="0.2">
      <c r="B96" s="43"/>
      <c r="C96" s="16" t="s">
        <v>338</v>
      </c>
      <c r="D96" s="16">
        <v>2017</v>
      </c>
      <c r="E96" s="38" t="s">
        <v>69</v>
      </c>
      <c r="F96" s="7" t="s">
        <v>339</v>
      </c>
      <c r="G96" s="65" t="s">
        <v>341</v>
      </c>
      <c r="H96" s="16" t="s">
        <v>340</v>
      </c>
      <c r="I96" s="40" t="s">
        <v>241</v>
      </c>
      <c r="J96" s="23" t="s">
        <v>912</v>
      </c>
      <c r="K96" s="41">
        <f>21612.4+14725.52</f>
        <v>36337.919999999998</v>
      </c>
      <c r="L96" s="41">
        <v>22623.29</v>
      </c>
      <c r="M96" s="41">
        <f>19489.96</f>
        <v>19489.96</v>
      </c>
      <c r="N96" s="41">
        <f>3133.33+22623.29</f>
        <v>25756.620000000003</v>
      </c>
      <c r="O96" s="41">
        <v>22623.29</v>
      </c>
      <c r="P96" s="41">
        <v>22623.29</v>
      </c>
      <c r="Q96" s="41">
        <v>22623.29</v>
      </c>
      <c r="R96" s="41">
        <v>21869.18</v>
      </c>
      <c r="S96" s="41"/>
      <c r="T96" s="41"/>
      <c r="U96" s="41"/>
      <c r="V96" s="41"/>
    </row>
    <row r="97" spans="2:22" ht="39.75" customHeight="1" x14ac:dyDescent="0.2">
      <c r="B97" s="44" t="s">
        <v>776</v>
      </c>
      <c r="C97" s="16" t="s">
        <v>865</v>
      </c>
      <c r="D97" s="16">
        <v>2018</v>
      </c>
      <c r="E97" s="38"/>
      <c r="F97" s="7" t="s">
        <v>469</v>
      </c>
      <c r="G97" s="65" t="s">
        <v>207</v>
      </c>
      <c r="H97" s="16" t="s">
        <v>734</v>
      </c>
      <c r="I97" s="40"/>
      <c r="J97" s="23" t="s">
        <v>329</v>
      </c>
      <c r="K97" s="41">
        <v>220</v>
      </c>
      <c r="L97" s="42" t="s">
        <v>245</v>
      </c>
      <c r="M97" s="42" t="s">
        <v>245</v>
      </c>
      <c r="N97" s="42" t="s">
        <v>245</v>
      </c>
      <c r="O97" s="41" t="s">
        <v>245</v>
      </c>
      <c r="P97" s="41" t="s">
        <v>245</v>
      </c>
      <c r="Q97" s="41" t="s">
        <v>245</v>
      </c>
      <c r="R97" s="41" t="s">
        <v>245</v>
      </c>
      <c r="S97" s="41"/>
      <c r="T97" s="41"/>
      <c r="U97" s="41"/>
      <c r="V97" s="41"/>
    </row>
    <row r="98" spans="2:22" ht="39.75" customHeight="1" x14ac:dyDescent="0.2">
      <c r="B98" s="19"/>
      <c r="C98" s="16" t="s">
        <v>866</v>
      </c>
      <c r="D98" s="16">
        <v>2019</v>
      </c>
      <c r="E98" s="38"/>
      <c r="F98" s="7" t="s">
        <v>469</v>
      </c>
      <c r="G98" s="65" t="s">
        <v>207</v>
      </c>
      <c r="H98" s="16" t="s">
        <v>777</v>
      </c>
      <c r="I98" s="40"/>
      <c r="J98" s="23" t="s">
        <v>733</v>
      </c>
      <c r="K98" s="41">
        <v>0</v>
      </c>
      <c r="L98" s="42">
        <v>0</v>
      </c>
      <c r="M98" s="41">
        <v>1495</v>
      </c>
      <c r="N98" s="41">
        <v>1920</v>
      </c>
      <c r="O98" s="41">
        <v>0</v>
      </c>
      <c r="P98" s="41">
        <v>0</v>
      </c>
      <c r="Q98" s="41">
        <f>1235+1430+600</f>
        <v>3265</v>
      </c>
      <c r="R98" s="41"/>
      <c r="S98" s="41"/>
      <c r="T98" s="41"/>
      <c r="U98" s="41"/>
      <c r="V98" s="41"/>
    </row>
    <row r="99" spans="2:22" ht="39.75" customHeight="1" x14ac:dyDescent="0.2">
      <c r="B99" s="43"/>
      <c r="C99" s="16" t="s">
        <v>568</v>
      </c>
      <c r="D99" s="16">
        <v>2018</v>
      </c>
      <c r="E99" s="38"/>
      <c r="F99" s="7" t="s">
        <v>552</v>
      </c>
      <c r="G99" s="65" t="s">
        <v>553</v>
      </c>
      <c r="H99" s="16" t="s">
        <v>554</v>
      </c>
      <c r="I99" s="40"/>
      <c r="J99" s="23" t="s">
        <v>911</v>
      </c>
      <c r="K99" s="41">
        <v>10373.34</v>
      </c>
      <c r="L99" s="42">
        <v>0</v>
      </c>
      <c r="M99" s="41">
        <f>10373.34+10373.34</f>
        <v>20746.68</v>
      </c>
      <c r="N99" s="41">
        <v>0</v>
      </c>
      <c r="O99" s="41">
        <v>10373.34</v>
      </c>
      <c r="P99" s="41">
        <v>0</v>
      </c>
      <c r="Q99" s="41">
        <v>6915.56</v>
      </c>
      <c r="R99" s="41">
        <v>6915.56</v>
      </c>
      <c r="S99" s="41">
        <v>6915.56</v>
      </c>
      <c r="T99" s="41"/>
      <c r="U99" s="41"/>
      <c r="V99" s="41"/>
    </row>
    <row r="100" spans="2:22" ht="39.75" customHeight="1" x14ac:dyDescent="0.2">
      <c r="B100" s="43"/>
      <c r="C100" s="16" t="s">
        <v>907</v>
      </c>
      <c r="D100" s="16">
        <v>2019</v>
      </c>
      <c r="E100" s="38"/>
      <c r="F100" s="7" t="s">
        <v>908</v>
      </c>
      <c r="G100" s="65" t="s">
        <v>909</v>
      </c>
      <c r="H100" s="16" t="s">
        <v>910</v>
      </c>
      <c r="I100" s="40"/>
      <c r="J100" s="17">
        <v>44013</v>
      </c>
      <c r="K100" s="59" t="s">
        <v>245</v>
      </c>
      <c r="L100" s="59" t="s">
        <v>245</v>
      </c>
      <c r="M100" s="59" t="s">
        <v>245</v>
      </c>
      <c r="N100" s="59" t="s">
        <v>245</v>
      </c>
      <c r="O100" s="59" t="s">
        <v>245</v>
      </c>
      <c r="P100" s="59" t="s">
        <v>245</v>
      </c>
      <c r="Q100" s="59" t="s">
        <v>245</v>
      </c>
      <c r="R100" s="41"/>
      <c r="S100" s="41">
        <v>3826.43</v>
      </c>
      <c r="T100" s="41"/>
      <c r="U100" s="41"/>
      <c r="V100" s="41"/>
    </row>
    <row r="101" spans="2:22" ht="39.75" customHeight="1" x14ac:dyDescent="0.2">
      <c r="B101" s="19"/>
      <c r="C101" s="16" t="s">
        <v>440</v>
      </c>
      <c r="D101" s="51">
        <v>2018</v>
      </c>
      <c r="E101" s="38"/>
      <c r="F101" s="7" t="s">
        <v>441</v>
      </c>
      <c r="G101" s="16" t="s">
        <v>433</v>
      </c>
      <c r="H101" s="16" t="s">
        <v>442</v>
      </c>
      <c r="I101" s="38"/>
      <c r="J101" s="23">
        <v>43556</v>
      </c>
      <c r="K101" s="41">
        <v>74280.399999999994</v>
      </c>
      <c r="L101" s="41">
        <v>74280.399999999994</v>
      </c>
      <c r="M101" s="41">
        <v>74280.399999999994</v>
      </c>
      <c r="N101" s="41">
        <f>74280.4</f>
        <v>74280.399999999994</v>
      </c>
      <c r="O101" s="41">
        <f>56562.37</f>
        <v>56562.37</v>
      </c>
      <c r="P101" s="41">
        <v>55951.4</v>
      </c>
      <c r="Q101" s="41">
        <v>55951.4</v>
      </c>
      <c r="R101" s="41">
        <v>55951.4</v>
      </c>
      <c r="S101" s="41"/>
      <c r="T101" s="41"/>
      <c r="U101" s="41"/>
      <c r="V101" s="41"/>
    </row>
    <row r="102" spans="2:22" ht="30" customHeight="1" x14ac:dyDescent="0.2">
      <c r="B102" s="19"/>
      <c r="C102" s="16" t="s">
        <v>867</v>
      </c>
      <c r="D102" s="16">
        <v>2019</v>
      </c>
      <c r="E102" s="49"/>
      <c r="F102" s="7" t="s">
        <v>413</v>
      </c>
      <c r="G102" s="16" t="s">
        <v>487</v>
      </c>
      <c r="H102" s="16" t="s">
        <v>778</v>
      </c>
      <c r="I102" s="49"/>
      <c r="J102" s="23" t="s">
        <v>733</v>
      </c>
      <c r="K102" s="41">
        <f>324.45+411.93</f>
        <v>736.38</v>
      </c>
      <c r="L102" s="42">
        <v>0</v>
      </c>
      <c r="M102" s="41">
        <v>0</v>
      </c>
      <c r="N102" s="41">
        <f>512.64+695.81</f>
        <v>1208.4499999999998</v>
      </c>
      <c r="O102" s="41">
        <f>523.01+736.38</f>
        <v>1259.3899999999999</v>
      </c>
      <c r="P102" s="41">
        <v>678.48</v>
      </c>
      <c r="Q102" s="41">
        <v>0</v>
      </c>
      <c r="R102" s="41">
        <f>661.03+294.75</f>
        <v>955.78</v>
      </c>
      <c r="S102" s="41"/>
      <c r="T102" s="41"/>
      <c r="U102" s="41"/>
      <c r="V102" s="41"/>
    </row>
    <row r="103" spans="2:22" ht="30" customHeight="1" x14ac:dyDescent="0.2">
      <c r="B103" s="44" t="s">
        <v>776</v>
      </c>
      <c r="C103" s="16" t="s">
        <v>868</v>
      </c>
      <c r="D103" s="16">
        <v>2019</v>
      </c>
      <c r="E103" s="49"/>
      <c r="F103" s="7" t="s">
        <v>834</v>
      </c>
      <c r="G103" s="16" t="s">
        <v>836</v>
      </c>
      <c r="H103" s="16" t="s">
        <v>837</v>
      </c>
      <c r="I103" s="49"/>
      <c r="J103" s="23" t="s">
        <v>733</v>
      </c>
      <c r="K103" s="41" t="s">
        <v>245</v>
      </c>
      <c r="L103" s="59" t="s">
        <v>245</v>
      </c>
      <c r="M103" s="41" t="s">
        <v>245</v>
      </c>
      <c r="N103" s="41" t="s">
        <v>245</v>
      </c>
      <c r="O103" s="41">
        <f>3245</f>
        <v>3245</v>
      </c>
      <c r="P103" s="41" t="s">
        <v>245</v>
      </c>
      <c r="Q103" s="41" t="s">
        <v>245</v>
      </c>
      <c r="R103" s="41" t="s">
        <v>245</v>
      </c>
      <c r="S103" s="60"/>
      <c r="T103" s="41"/>
      <c r="U103" s="41"/>
      <c r="V103" s="41"/>
    </row>
    <row r="104" spans="2:22" ht="30" customHeight="1" x14ac:dyDescent="0.2">
      <c r="B104" s="44" t="s">
        <v>776</v>
      </c>
      <c r="C104" s="16" t="s">
        <v>869</v>
      </c>
      <c r="D104" s="16">
        <v>2019</v>
      </c>
      <c r="E104" s="49"/>
      <c r="F104" s="7" t="s">
        <v>835</v>
      </c>
      <c r="G104" s="16" t="s">
        <v>838</v>
      </c>
      <c r="H104" s="16" t="s">
        <v>839</v>
      </c>
      <c r="I104" s="49"/>
      <c r="J104" s="23" t="s">
        <v>733</v>
      </c>
      <c r="K104" s="41" t="s">
        <v>245</v>
      </c>
      <c r="L104" s="59" t="s">
        <v>245</v>
      </c>
      <c r="M104" s="41" t="s">
        <v>245</v>
      </c>
      <c r="N104" s="41" t="s">
        <v>245</v>
      </c>
      <c r="O104" s="41">
        <f>2350</f>
        <v>2350</v>
      </c>
      <c r="P104" s="41" t="s">
        <v>245</v>
      </c>
      <c r="Q104" s="41" t="s">
        <v>245</v>
      </c>
      <c r="R104" s="41" t="s">
        <v>245</v>
      </c>
      <c r="S104" s="60"/>
      <c r="T104" s="41"/>
      <c r="U104" s="41"/>
      <c r="V104" s="41"/>
    </row>
    <row r="105" spans="2:22" ht="30" customHeight="1" x14ac:dyDescent="0.2">
      <c r="B105" s="44" t="s">
        <v>776</v>
      </c>
      <c r="C105" s="16" t="s">
        <v>870</v>
      </c>
      <c r="D105" s="51">
        <v>2018</v>
      </c>
      <c r="E105" s="38"/>
      <c r="F105" s="7" t="s">
        <v>736</v>
      </c>
      <c r="G105" s="16" t="s">
        <v>737</v>
      </c>
      <c r="H105" s="16" t="s">
        <v>738</v>
      </c>
      <c r="I105" s="38"/>
      <c r="J105" s="23" t="s">
        <v>329</v>
      </c>
      <c r="K105" s="41">
        <v>5278.08</v>
      </c>
      <c r="L105" s="59" t="s">
        <v>245</v>
      </c>
      <c r="M105" s="41" t="s">
        <v>245</v>
      </c>
      <c r="N105" s="41" t="s">
        <v>245</v>
      </c>
      <c r="O105" s="41" t="s">
        <v>245</v>
      </c>
      <c r="P105" s="41" t="s">
        <v>245</v>
      </c>
      <c r="Q105" s="41" t="s">
        <v>245</v>
      </c>
      <c r="R105" s="41" t="s">
        <v>245</v>
      </c>
      <c r="S105" s="60"/>
      <c r="T105" s="41"/>
      <c r="U105" s="41"/>
      <c r="V105" s="41"/>
    </row>
    <row r="106" spans="2:22" ht="30" customHeight="1" x14ac:dyDescent="0.2">
      <c r="B106" s="44" t="s">
        <v>776</v>
      </c>
      <c r="C106" s="16" t="s">
        <v>871</v>
      </c>
      <c r="D106" s="51">
        <v>2018</v>
      </c>
      <c r="E106" s="38"/>
      <c r="F106" s="7" t="s">
        <v>660</v>
      </c>
      <c r="G106" s="16" t="s">
        <v>661</v>
      </c>
      <c r="H106" s="16" t="s">
        <v>779</v>
      </c>
      <c r="I106" s="38"/>
      <c r="J106" s="23" t="s">
        <v>329</v>
      </c>
      <c r="K106" s="41" t="s">
        <v>245</v>
      </c>
      <c r="L106" s="42">
        <v>10110</v>
      </c>
      <c r="M106" s="41" t="s">
        <v>245</v>
      </c>
      <c r="N106" s="41" t="s">
        <v>245</v>
      </c>
      <c r="O106" s="41" t="s">
        <v>245</v>
      </c>
      <c r="P106" s="41" t="s">
        <v>245</v>
      </c>
      <c r="Q106" s="41" t="s">
        <v>245</v>
      </c>
      <c r="R106" s="41" t="s">
        <v>245</v>
      </c>
      <c r="S106" s="60"/>
      <c r="T106" s="41"/>
      <c r="U106" s="41"/>
      <c r="V106" s="41"/>
    </row>
    <row r="107" spans="2:22" ht="36" customHeight="1" x14ac:dyDescent="0.2">
      <c r="B107" s="44" t="s">
        <v>776</v>
      </c>
      <c r="C107" s="16" t="s">
        <v>739</v>
      </c>
      <c r="D107" s="51">
        <v>2019</v>
      </c>
      <c r="E107" s="38"/>
      <c r="F107" s="7" t="s">
        <v>740</v>
      </c>
      <c r="G107" s="16" t="s">
        <v>741</v>
      </c>
      <c r="H107" s="16" t="s">
        <v>742</v>
      </c>
      <c r="I107" s="38"/>
      <c r="J107" s="54">
        <v>2019</v>
      </c>
      <c r="K107" s="41" t="s">
        <v>245</v>
      </c>
      <c r="L107" s="41">
        <v>650</v>
      </c>
      <c r="M107" s="41" t="s">
        <v>245</v>
      </c>
      <c r="N107" s="41" t="s">
        <v>245</v>
      </c>
      <c r="O107" s="41" t="s">
        <v>245</v>
      </c>
      <c r="P107" s="41" t="s">
        <v>245</v>
      </c>
      <c r="Q107" s="41" t="s">
        <v>245</v>
      </c>
      <c r="R107" s="41" t="s">
        <v>245</v>
      </c>
    </row>
    <row r="108" spans="2:22" ht="36" customHeight="1" x14ac:dyDescent="0.2">
      <c r="B108" s="44" t="s">
        <v>776</v>
      </c>
      <c r="C108" s="16" t="s">
        <v>780</v>
      </c>
      <c r="D108" s="51">
        <v>2019</v>
      </c>
      <c r="E108" s="38"/>
      <c r="F108" s="7" t="s">
        <v>781</v>
      </c>
      <c r="G108" s="16" t="s">
        <v>198</v>
      </c>
      <c r="H108" s="16" t="s">
        <v>782</v>
      </c>
      <c r="I108" s="38"/>
      <c r="J108" s="54">
        <v>2019</v>
      </c>
      <c r="K108" s="41" t="s">
        <v>245</v>
      </c>
      <c r="L108" s="41" t="s">
        <v>245</v>
      </c>
      <c r="M108" s="41">
        <v>7800</v>
      </c>
      <c r="N108" s="41" t="s">
        <v>245</v>
      </c>
      <c r="O108" s="41" t="s">
        <v>245</v>
      </c>
      <c r="P108" s="41" t="s">
        <v>245</v>
      </c>
      <c r="Q108" s="41" t="s">
        <v>245</v>
      </c>
      <c r="R108" s="41" t="s">
        <v>245</v>
      </c>
    </row>
    <row r="109" spans="2:22" ht="36" customHeight="1" x14ac:dyDescent="0.2">
      <c r="B109" s="44" t="s">
        <v>776</v>
      </c>
      <c r="C109" s="16" t="s">
        <v>783</v>
      </c>
      <c r="D109" s="51">
        <v>2019</v>
      </c>
      <c r="E109" s="38"/>
      <c r="F109" s="7" t="s">
        <v>784</v>
      </c>
      <c r="G109" s="16" t="s">
        <v>785</v>
      </c>
      <c r="H109" s="16" t="s">
        <v>786</v>
      </c>
      <c r="I109" s="38"/>
      <c r="J109" s="54">
        <v>2019</v>
      </c>
      <c r="K109" s="41" t="s">
        <v>245</v>
      </c>
      <c r="L109" s="41" t="s">
        <v>245</v>
      </c>
      <c r="M109" s="41">
        <v>12250</v>
      </c>
      <c r="N109" s="41" t="s">
        <v>245</v>
      </c>
      <c r="O109" s="41" t="s">
        <v>245</v>
      </c>
      <c r="P109" s="41" t="s">
        <v>245</v>
      </c>
      <c r="Q109" s="41" t="s">
        <v>245</v>
      </c>
      <c r="R109" s="41" t="s">
        <v>245</v>
      </c>
    </row>
    <row r="110" spans="2:22" ht="36" customHeight="1" x14ac:dyDescent="0.2">
      <c r="B110" s="44"/>
      <c r="C110" s="16" t="s">
        <v>787</v>
      </c>
      <c r="D110" s="51">
        <v>2019</v>
      </c>
      <c r="E110" s="38"/>
      <c r="F110" s="7" t="s">
        <v>788</v>
      </c>
      <c r="G110" s="16" t="s">
        <v>789</v>
      </c>
      <c r="H110" s="16" t="s">
        <v>790</v>
      </c>
      <c r="I110" s="38"/>
      <c r="J110" s="54">
        <v>2019</v>
      </c>
      <c r="K110" s="41" t="s">
        <v>245</v>
      </c>
      <c r="L110" s="41" t="s">
        <v>245</v>
      </c>
      <c r="M110" s="41">
        <v>1690</v>
      </c>
      <c r="N110" s="41" t="s">
        <v>245</v>
      </c>
      <c r="O110" s="41" t="s">
        <v>245</v>
      </c>
      <c r="P110" s="41">
        <f>676</f>
        <v>676</v>
      </c>
      <c r="Q110" s="41">
        <f>676+338+3000</f>
        <v>4014</v>
      </c>
      <c r="R110" s="41">
        <f>1352</f>
        <v>1352</v>
      </c>
    </row>
    <row r="111" spans="2:22" ht="36" customHeight="1" x14ac:dyDescent="0.2">
      <c r="B111" s="44" t="s">
        <v>776</v>
      </c>
      <c r="C111" s="16" t="s">
        <v>916</v>
      </c>
      <c r="D111" s="51">
        <v>2019</v>
      </c>
      <c r="E111" s="38"/>
      <c r="F111" s="7" t="s">
        <v>917</v>
      </c>
      <c r="G111" s="16" t="s">
        <v>918</v>
      </c>
      <c r="H111" s="16" t="s">
        <v>919</v>
      </c>
      <c r="I111" s="38"/>
      <c r="J111" s="54">
        <v>2019</v>
      </c>
      <c r="K111" s="59" t="s">
        <v>245</v>
      </c>
      <c r="L111" s="59" t="s">
        <v>245</v>
      </c>
      <c r="M111" s="59" t="s">
        <v>245</v>
      </c>
      <c r="N111" s="59" t="s">
        <v>245</v>
      </c>
      <c r="O111" s="59" t="s">
        <v>245</v>
      </c>
      <c r="P111" s="59" t="s">
        <v>245</v>
      </c>
      <c r="Q111" s="59" t="s">
        <v>245</v>
      </c>
      <c r="R111" s="41">
        <v>5329.84</v>
      </c>
    </row>
    <row r="112" spans="2:22" ht="36" customHeight="1" x14ac:dyDescent="0.2">
      <c r="B112" s="44" t="s">
        <v>776</v>
      </c>
      <c r="C112" s="16" t="s">
        <v>791</v>
      </c>
      <c r="D112" s="51">
        <v>2019</v>
      </c>
      <c r="E112" s="38"/>
      <c r="F112" s="7" t="s">
        <v>792</v>
      </c>
      <c r="G112" s="16" t="s">
        <v>793</v>
      </c>
      <c r="H112" s="16" t="s">
        <v>794</v>
      </c>
      <c r="I112" s="38"/>
      <c r="J112" s="54">
        <v>2019</v>
      </c>
      <c r="K112" s="41" t="s">
        <v>245</v>
      </c>
      <c r="L112" s="41" t="s">
        <v>245</v>
      </c>
      <c r="M112" s="41">
        <v>695</v>
      </c>
      <c r="N112" s="41" t="s">
        <v>245</v>
      </c>
      <c r="O112" s="41" t="s">
        <v>245</v>
      </c>
      <c r="P112" s="41" t="s">
        <v>245</v>
      </c>
      <c r="Q112" s="41" t="s">
        <v>245</v>
      </c>
      <c r="R112" s="41" t="s">
        <v>245</v>
      </c>
    </row>
    <row r="113" spans="2:22" ht="36" customHeight="1" x14ac:dyDescent="0.2">
      <c r="B113" s="56" t="s">
        <v>776</v>
      </c>
      <c r="C113" s="55" t="s">
        <v>795</v>
      </c>
      <c r="D113" s="57">
        <v>2019</v>
      </c>
      <c r="E113" s="38"/>
      <c r="F113" s="61" t="s">
        <v>796</v>
      </c>
      <c r="G113" s="64" t="s">
        <v>797</v>
      </c>
      <c r="H113" s="64" t="s">
        <v>798</v>
      </c>
      <c r="I113" s="38"/>
      <c r="J113" s="58">
        <v>2019</v>
      </c>
      <c r="K113" s="62" t="s">
        <v>245</v>
      </c>
      <c r="L113" s="62" t="s">
        <v>245</v>
      </c>
      <c r="M113" s="62">
        <v>3132</v>
      </c>
      <c r="N113" s="62" t="s">
        <v>245</v>
      </c>
      <c r="O113" s="62">
        <v>1566</v>
      </c>
      <c r="P113" s="62" t="s">
        <v>245</v>
      </c>
      <c r="Q113" s="62" t="s">
        <v>245</v>
      </c>
      <c r="R113" s="62" t="s">
        <v>245</v>
      </c>
    </row>
    <row r="114" spans="2:22" ht="36" customHeight="1" x14ac:dyDescent="0.2">
      <c r="B114" s="56" t="s">
        <v>776</v>
      </c>
      <c r="C114" s="16" t="s">
        <v>827</v>
      </c>
      <c r="D114" s="51">
        <v>2019</v>
      </c>
      <c r="E114" s="38"/>
      <c r="F114" s="7" t="s">
        <v>828</v>
      </c>
      <c r="G114" s="16" t="s">
        <v>829</v>
      </c>
      <c r="H114" s="27" t="s">
        <v>830</v>
      </c>
      <c r="I114" s="38"/>
      <c r="J114" s="54">
        <v>2019</v>
      </c>
      <c r="K114" s="41" t="s">
        <v>245</v>
      </c>
      <c r="L114" s="41" t="s">
        <v>245</v>
      </c>
      <c r="M114" s="41" t="s">
        <v>245</v>
      </c>
      <c r="N114" s="41">
        <f>160.55+140.79</f>
        <v>301.34000000000003</v>
      </c>
      <c r="O114" s="41" t="s">
        <v>245</v>
      </c>
      <c r="P114" s="41" t="s">
        <v>245</v>
      </c>
      <c r="Q114" s="41" t="s">
        <v>245</v>
      </c>
      <c r="R114" s="41" t="s">
        <v>245</v>
      </c>
      <c r="S114" s="41" t="s">
        <v>245</v>
      </c>
      <c r="T114" s="41" t="s">
        <v>245</v>
      </c>
      <c r="U114" s="41" t="s">
        <v>245</v>
      </c>
      <c r="V114" s="41" t="s">
        <v>245</v>
      </c>
    </row>
    <row r="115" spans="2:22" ht="36" customHeight="1" x14ac:dyDescent="0.2">
      <c r="B115" s="44" t="s">
        <v>776</v>
      </c>
      <c r="C115" s="16" t="s">
        <v>803</v>
      </c>
      <c r="D115" s="51">
        <v>2019</v>
      </c>
      <c r="E115" s="38"/>
      <c r="F115" s="7" t="s">
        <v>831</v>
      </c>
      <c r="G115" s="16" t="s">
        <v>805</v>
      </c>
      <c r="H115" s="27" t="s">
        <v>806</v>
      </c>
      <c r="I115" s="38"/>
      <c r="J115" s="54">
        <v>2019</v>
      </c>
      <c r="K115" s="42" t="s">
        <v>245</v>
      </c>
      <c r="L115" s="42" t="s">
        <v>245</v>
      </c>
      <c r="M115" s="42" t="s">
        <v>245</v>
      </c>
      <c r="N115" s="41">
        <v>708</v>
      </c>
      <c r="O115" s="41" t="s">
        <v>245</v>
      </c>
      <c r="P115" s="41" t="s">
        <v>245</v>
      </c>
      <c r="Q115" s="41" t="s">
        <v>245</v>
      </c>
      <c r="R115" s="41" t="s">
        <v>245</v>
      </c>
    </row>
    <row r="116" spans="2:22" ht="36" customHeight="1" x14ac:dyDescent="0.2">
      <c r="B116" s="71" t="s">
        <v>776</v>
      </c>
      <c r="C116" s="69" t="s">
        <v>807</v>
      </c>
      <c r="D116" s="73">
        <v>2019</v>
      </c>
      <c r="E116" s="38"/>
      <c r="F116" s="7" t="s">
        <v>832</v>
      </c>
      <c r="G116" s="16" t="s">
        <v>809</v>
      </c>
      <c r="H116" s="75" t="s">
        <v>810</v>
      </c>
      <c r="I116" s="38"/>
      <c r="J116" s="77">
        <v>2019</v>
      </c>
      <c r="K116" s="42" t="s">
        <v>245</v>
      </c>
      <c r="L116" s="42" t="s">
        <v>245</v>
      </c>
      <c r="M116" s="42" t="s">
        <v>245</v>
      </c>
      <c r="N116" s="41">
        <v>7200</v>
      </c>
      <c r="O116" s="41" t="s">
        <v>245</v>
      </c>
      <c r="P116" s="41" t="s">
        <v>245</v>
      </c>
      <c r="Q116" s="41" t="s">
        <v>245</v>
      </c>
      <c r="R116" s="41" t="s">
        <v>245</v>
      </c>
    </row>
    <row r="117" spans="2:22" ht="36" customHeight="1" x14ac:dyDescent="0.2">
      <c r="B117" s="72"/>
      <c r="C117" s="70"/>
      <c r="D117" s="74"/>
      <c r="E117" s="38"/>
      <c r="F117" s="7" t="s">
        <v>833</v>
      </c>
      <c r="G117" s="16" t="s">
        <v>812</v>
      </c>
      <c r="H117" s="76"/>
      <c r="I117" s="38"/>
      <c r="J117" s="78"/>
      <c r="K117" s="42" t="s">
        <v>245</v>
      </c>
      <c r="L117" s="42" t="s">
        <v>245</v>
      </c>
      <c r="M117" s="42" t="s">
        <v>245</v>
      </c>
      <c r="N117" s="41">
        <f>2299.99</f>
        <v>2299.9899999999998</v>
      </c>
      <c r="O117" s="41" t="s">
        <v>245</v>
      </c>
      <c r="P117" s="41" t="s">
        <v>245</v>
      </c>
      <c r="Q117" s="41" t="s">
        <v>245</v>
      </c>
      <c r="R117" s="41" t="s">
        <v>245</v>
      </c>
    </row>
    <row r="118" spans="2:22" ht="36" customHeight="1" x14ac:dyDescent="0.2">
      <c r="B118" s="44" t="s">
        <v>776</v>
      </c>
      <c r="C118" s="16" t="s">
        <v>799</v>
      </c>
      <c r="D118" s="51">
        <v>2019</v>
      </c>
      <c r="E118" s="38"/>
      <c r="F118" s="7" t="s">
        <v>800</v>
      </c>
      <c r="G118" s="16" t="s">
        <v>801</v>
      </c>
      <c r="H118" s="16" t="s">
        <v>802</v>
      </c>
      <c r="I118" s="38"/>
      <c r="J118" s="54">
        <v>2019</v>
      </c>
      <c r="K118" s="42" t="s">
        <v>245</v>
      </c>
      <c r="L118" s="42" t="s">
        <v>245</v>
      </c>
      <c r="M118" s="41">
        <v>1440</v>
      </c>
      <c r="N118" s="41" t="s">
        <v>245</v>
      </c>
      <c r="O118" s="41" t="s">
        <v>245</v>
      </c>
      <c r="P118" s="41" t="s">
        <v>245</v>
      </c>
      <c r="Q118" s="41" t="s">
        <v>245</v>
      </c>
      <c r="R118" s="41" t="s">
        <v>245</v>
      </c>
    </row>
    <row r="119" spans="2:22" ht="36" customHeight="1" x14ac:dyDescent="0.2">
      <c r="B119" s="44" t="s">
        <v>776</v>
      </c>
      <c r="C119" s="16" t="s">
        <v>803</v>
      </c>
      <c r="D119" s="51">
        <v>2019</v>
      </c>
      <c r="E119" s="38"/>
      <c r="F119" s="7" t="s">
        <v>804</v>
      </c>
      <c r="G119" s="16" t="s">
        <v>805</v>
      </c>
      <c r="H119" s="16" t="s">
        <v>806</v>
      </c>
      <c r="I119" s="38"/>
      <c r="J119" s="54">
        <v>2019</v>
      </c>
      <c r="K119" s="42" t="s">
        <v>245</v>
      </c>
      <c r="L119" s="42" t="s">
        <v>245</v>
      </c>
      <c r="M119" s="41" t="s">
        <v>245</v>
      </c>
      <c r="N119" s="41">
        <v>708</v>
      </c>
      <c r="O119" s="41" t="s">
        <v>245</v>
      </c>
      <c r="P119" s="41" t="s">
        <v>245</v>
      </c>
      <c r="Q119" s="41" t="s">
        <v>245</v>
      </c>
      <c r="R119" s="41" t="s">
        <v>245</v>
      </c>
    </row>
    <row r="120" spans="2:22" ht="36" customHeight="1" x14ac:dyDescent="0.2">
      <c r="B120" s="44" t="s">
        <v>776</v>
      </c>
      <c r="C120" s="16" t="s">
        <v>807</v>
      </c>
      <c r="D120" s="51">
        <v>2019</v>
      </c>
      <c r="E120" s="38"/>
      <c r="F120" s="7" t="s">
        <v>808</v>
      </c>
      <c r="G120" s="16" t="s">
        <v>809</v>
      </c>
      <c r="H120" s="16" t="s">
        <v>810</v>
      </c>
      <c r="I120" s="38"/>
      <c r="J120" s="54">
        <v>2019</v>
      </c>
      <c r="K120" s="42" t="s">
        <v>245</v>
      </c>
      <c r="L120" s="42" t="s">
        <v>245</v>
      </c>
      <c r="M120" s="41" t="s">
        <v>245</v>
      </c>
      <c r="N120" s="41">
        <v>72000</v>
      </c>
      <c r="O120" s="41" t="s">
        <v>245</v>
      </c>
      <c r="P120" s="41" t="s">
        <v>245</v>
      </c>
      <c r="Q120" s="41" t="s">
        <v>245</v>
      </c>
      <c r="R120" s="41" t="s">
        <v>245</v>
      </c>
    </row>
    <row r="121" spans="2:22" ht="36" customHeight="1" x14ac:dyDescent="0.2">
      <c r="B121" s="44" t="s">
        <v>776</v>
      </c>
      <c r="C121" s="16" t="s">
        <v>807</v>
      </c>
      <c r="D121" s="51">
        <v>2019</v>
      </c>
      <c r="E121" s="38"/>
      <c r="F121" s="7" t="s">
        <v>811</v>
      </c>
      <c r="G121" s="16" t="s">
        <v>812</v>
      </c>
      <c r="H121" s="16" t="s">
        <v>810</v>
      </c>
      <c r="I121" s="38"/>
      <c r="J121" s="54">
        <v>2019</v>
      </c>
      <c r="K121" s="42" t="s">
        <v>245</v>
      </c>
      <c r="L121" s="42" t="s">
        <v>245</v>
      </c>
      <c r="M121" s="41" t="s">
        <v>245</v>
      </c>
      <c r="N121" s="41">
        <v>2299.9899999999998</v>
      </c>
      <c r="O121" s="41" t="s">
        <v>245</v>
      </c>
      <c r="P121" s="41" t="s">
        <v>245</v>
      </c>
      <c r="Q121" s="41" t="s">
        <v>245</v>
      </c>
      <c r="R121" s="41" t="s">
        <v>245</v>
      </c>
    </row>
    <row r="122" spans="2:22" ht="36.75" customHeight="1" x14ac:dyDescent="0.2">
      <c r="B122" s="44" t="s">
        <v>776</v>
      </c>
      <c r="C122" s="16" t="s">
        <v>743</v>
      </c>
      <c r="D122" s="51">
        <v>2019</v>
      </c>
      <c r="E122" s="38"/>
      <c r="F122" s="7" t="s">
        <v>744</v>
      </c>
      <c r="G122" s="16" t="s">
        <v>745</v>
      </c>
      <c r="H122" s="16" t="s">
        <v>746</v>
      </c>
      <c r="I122" s="38"/>
      <c r="J122" s="54">
        <v>2019</v>
      </c>
      <c r="K122" s="41" t="s">
        <v>245</v>
      </c>
      <c r="L122" s="41">
        <v>1477</v>
      </c>
      <c r="M122" s="41" t="s">
        <v>245</v>
      </c>
      <c r="N122" s="41" t="s">
        <v>245</v>
      </c>
      <c r="O122" s="41" t="s">
        <v>245</v>
      </c>
      <c r="P122" s="41" t="s">
        <v>245</v>
      </c>
      <c r="Q122" s="41" t="s">
        <v>245</v>
      </c>
      <c r="R122" s="41" t="s">
        <v>245</v>
      </c>
    </row>
    <row r="123" spans="2:22" ht="15" x14ac:dyDescent="0.2">
      <c r="C123" s="4"/>
      <c r="D123" s="4"/>
      <c r="E123" s="1"/>
      <c r="F123" s="1"/>
      <c r="G123" s="4"/>
      <c r="H123" s="4"/>
      <c r="I123" s="1"/>
      <c r="J123" s="6"/>
    </row>
    <row r="124" spans="2:22" ht="15" x14ac:dyDescent="0.2">
      <c r="C124" s="4"/>
      <c r="D124" s="4"/>
      <c r="E124" s="1"/>
      <c r="F124" s="1"/>
      <c r="G124" s="4"/>
      <c r="H124" s="4"/>
      <c r="I124" s="1"/>
      <c r="J124" s="6"/>
    </row>
    <row r="125" spans="2:22" ht="15" x14ac:dyDescent="0.2">
      <c r="C125" s="4"/>
      <c r="D125" s="4"/>
      <c r="E125" s="1"/>
      <c r="F125" s="1"/>
      <c r="G125" s="4"/>
      <c r="H125" s="4"/>
      <c r="I125" s="1"/>
      <c r="J125" s="6"/>
    </row>
    <row r="126" spans="2:22" ht="15" x14ac:dyDescent="0.2">
      <c r="C126" s="4"/>
      <c r="D126" s="4"/>
      <c r="E126" s="1"/>
      <c r="F126" s="1"/>
      <c r="G126" s="4"/>
      <c r="H126" s="4"/>
      <c r="I126" s="1"/>
      <c r="J126" s="6"/>
    </row>
    <row r="127" spans="2:22" ht="15" x14ac:dyDescent="0.2">
      <c r="C127" s="4"/>
      <c r="D127" s="4"/>
      <c r="E127" s="1"/>
      <c r="F127" s="1"/>
      <c r="G127" s="4"/>
      <c r="H127" s="4"/>
      <c r="I127" s="1"/>
      <c r="J127" s="6"/>
    </row>
    <row r="128" spans="2:22" ht="15" x14ac:dyDescent="0.2">
      <c r="C128" s="4"/>
      <c r="D128" s="4"/>
      <c r="E128" s="1"/>
      <c r="F128" s="1"/>
      <c r="G128" s="4"/>
      <c r="H128" s="4"/>
      <c r="I128" s="1"/>
      <c r="J128" s="6"/>
    </row>
    <row r="129" spans="3:10" ht="15" x14ac:dyDescent="0.2">
      <c r="C129" s="4"/>
      <c r="D129" s="4"/>
      <c r="E129" s="1"/>
      <c r="F129" s="1"/>
      <c r="G129" s="4"/>
      <c r="H129" s="4"/>
      <c r="I129" s="1"/>
      <c r="J129" s="6"/>
    </row>
    <row r="130" spans="3:10" ht="15" x14ac:dyDescent="0.2">
      <c r="C130" s="4"/>
      <c r="D130" s="4"/>
      <c r="E130" s="1"/>
      <c r="F130" s="1"/>
      <c r="G130" s="4"/>
      <c r="H130" s="4"/>
      <c r="I130" s="1"/>
      <c r="J130" s="6"/>
    </row>
    <row r="131" spans="3:10" ht="15" x14ac:dyDescent="0.2">
      <c r="C131" s="4"/>
      <c r="D131" s="4"/>
      <c r="E131" s="1"/>
      <c r="F131" s="1"/>
      <c r="G131" s="4"/>
      <c r="H131" s="4"/>
      <c r="I131" s="1"/>
      <c r="J131" s="6"/>
    </row>
    <row r="132" spans="3:10" ht="15" x14ac:dyDescent="0.2">
      <c r="C132" s="4"/>
      <c r="D132" s="4"/>
      <c r="E132" s="1"/>
      <c r="F132" s="1"/>
      <c r="G132" s="4"/>
      <c r="H132" s="4"/>
      <c r="I132" s="1"/>
      <c r="J132" s="6"/>
    </row>
    <row r="133" spans="3:10" ht="15" x14ac:dyDescent="0.2">
      <c r="C133" s="4"/>
      <c r="D133" s="4"/>
      <c r="E133" s="1"/>
      <c r="F133" s="1"/>
      <c r="G133" s="4"/>
      <c r="H133" s="4"/>
      <c r="I133" s="1"/>
      <c r="J133" s="6"/>
    </row>
    <row r="134" spans="3:10" ht="15" x14ac:dyDescent="0.2">
      <c r="C134" s="4"/>
      <c r="D134" s="4"/>
      <c r="E134" s="1"/>
      <c r="F134" s="1"/>
      <c r="G134" s="4"/>
      <c r="H134" s="4"/>
      <c r="I134" s="1"/>
      <c r="J134" s="6"/>
    </row>
    <row r="135" spans="3:10" ht="15" x14ac:dyDescent="0.2">
      <c r="C135" s="4"/>
      <c r="D135" s="4"/>
      <c r="E135" s="1"/>
      <c r="F135" s="1"/>
      <c r="G135" s="4"/>
      <c r="H135" s="4"/>
      <c r="I135" s="1"/>
      <c r="J135" s="6"/>
    </row>
    <row r="136" spans="3:10" ht="15" x14ac:dyDescent="0.2">
      <c r="C136" s="4"/>
      <c r="D136" s="4"/>
      <c r="E136" s="1"/>
      <c r="F136" s="1"/>
      <c r="G136" s="4"/>
      <c r="H136" s="4"/>
      <c r="I136" s="1"/>
      <c r="J136" s="6"/>
    </row>
    <row r="137" spans="3:10" ht="15" x14ac:dyDescent="0.2">
      <c r="C137" s="4"/>
      <c r="D137" s="4"/>
      <c r="E137" s="1"/>
      <c r="F137" s="1"/>
      <c r="G137" s="4"/>
      <c r="H137" s="4"/>
      <c r="I137" s="1"/>
      <c r="J137" s="6"/>
    </row>
    <row r="138" spans="3:10" ht="15" x14ac:dyDescent="0.2">
      <c r="C138" s="4"/>
      <c r="D138" s="4"/>
      <c r="E138" s="1"/>
      <c r="F138" s="1"/>
      <c r="G138" s="4"/>
      <c r="H138" s="4"/>
      <c r="I138" s="1"/>
      <c r="J138" s="6"/>
    </row>
    <row r="139" spans="3:10" ht="15" x14ac:dyDescent="0.2">
      <c r="C139" s="4"/>
      <c r="D139" s="4"/>
      <c r="E139" s="1"/>
      <c r="F139" s="1"/>
      <c r="G139" s="4"/>
      <c r="H139" s="4"/>
      <c r="I139" s="1"/>
      <c r="J139" s="6"/>
    </row>
    <row r="140" spans="3:10" ht="15" x14ac:dyDescent="0.2">
      <c r="C140" s="4"/>
      <c r="D140" s="4"/>
      <c r="E140" s="1"/>
      <c r="F140" s="1"/>
      <c r="G140" s="4"/>
      <c r="H140" s="4"/>
      <c r="I140" s="1"/>
      <c r="J140" s="6"/>
    </row>
    <row r="141" spans="3:10" ht="15" x14ac:dyDescent="0.2">
      <c r="C141" s="4"/>
      <c r="D141" s="4"/>
      <c r="E141" s="1"/>
      <c r="F141" s="1"/>
      <c r="G141" s="4"/>
      <c r="H141" s="4"/>
      <c r="I141" s="1"/>
      <c r="J141" s="6"/>
    </row>
    <row r="142" spans="3:10" ht="15" x14ac:dyDescent="0.2">
      <c r="C142" s="4"/>
      <c r="D142" s="4"/>
      <c r="E142" s="1"/>
      <c r="F142" s="1"/>
      <c r="G142" s="4"/>
      <c r="H142" s="4"/>
      <c r="I142" s="1"/>
      <c r="J142" s="6"/>
    </row>
    <row r="143" spans="3:10" ht="15" x14ac:dyDescent="0.2">
      <c r="C143" s="4"/>
      <c r="D143" s="4"/>
      <c r="E143" s="1"/>
      <c r="F143" s="1"/>
      <c r="G143" s="4"/>
      <c r="H143" s="4"/>
      <c r="I143" s="1"/>
      <c r="J143" s="6"/>
    </row>
    <row r="144" spans="3:10" ht="15" x14ac:dyDescent="0.2">
      <c r="C144" s="4"/>
      <c r="D144" s="4"/>
      <c r="E144" s="1"/>
      <c r="F144" s="1"/>
      <c r="G144" s="4"/>
      <c r="H144" s="4"/>
      <c r="I144" s="1"/>
      <c r="J144" s="6"/>
    </row>
    <row r="145" spans="3:10" ht="15" x14ac:dyDescent="0.2">
      <c r="C145" s="4"/>
      <c r="D145" s="4"/>
      <c r="E145" s="1"/>
      <c r="F145" s="1"/>
      <c r="G145" s="4"/>
      <c r="H145" s="4"/>
      <c r="I145" s="1"/>
      <c r="J145" s="6"/>
    </row>
    <row r="146" spans="3:10" ht="15" x14ac:dyDescent="0.2">
      <c r="C146" s="4"/>
      <c r="D146" s="4"/>
      <c r="E146" s="1"/>
      <c r="F146" s="1"/>
      <c r="G146" s="4"/>
      <c r="H146" s="4"/>
      <c r="I146" s="1"/>
      <c r="J146" s="6"/>
    </row>
    <row r="147" spans="3:10" ht="15" x14ac:dyDescent="0.2">
      <c r="C147" s="4"/>
      <c r="D147" s="4"/>
      <c r="E147" s="1"/>
      <c r="F147" s="1"/>
      <c r="G147" s="4"/>
      <c r="H147" s="4"/>
      <c r="I147" s="1"/>
      <c r="J147" s="6"/>
    </row>
    <row r="148" spans="3:10" ht="15" x14ac:dyDescent="0.2">
      <c r="C148" s="4"/>
      <c r="D148" s="4"/>
      <c r="E148" s="1"/>
      <c r="F148" s="1"/>
      <c r="G148" s="4"/>
      <c r="H148" s="4"/>
      <c r="I148" s="1"/>
      <c r="J148" s="6"/>
    </row>
    <row r="149" spans="3:10" ht="15" x14ac:dyDescent="0.2">
      <c r="C149" s="4"/>
      <c r="D149" s="4"/>
      <c r="E149" s="1"/>
      <c r="F149" s="1"/>
      <c r="G149" s="4"/>
      <c r="H149" s="4"/>
      <c r="I149" s="1"/>
      <c r="J149" s="6"/>
    </row>
    <row r="150" spans="3:10" ht="15" x14ac:dyDescent="0.2">
      <c r="C150" s="4"/>
      <c r="D150" s="4"/>
      <c r="E150" s="1"/>
      <c r="F150" s="1"/>
      <c r="G150" s="4"/>
      <c r="H150" s="4"/>
      <c r="I150" s="1"/>
      <c r="J150" s="6"/>
    </row>
    <row r="151" spans="3:10" ht="15" x14ac:dyDescent="0.2">
      <c r="C151" s="4"/>
      <c r="D151" s="4"/>
      <c r="E151" s="1"/>
      <c r="F151" s="1"/>
      <c r="G151" s="4"/>
      <c r="H151" s="4"/>
      <c r="I151" s="1"/>
      <c r="J151" s="6"/>
    </row>
    <row r="152" spans="3:10" ht="15" x14ac:dyDescent="0.2">
      <c r="C152" s="4"/>
      <c r="D152" s="4"/>
      <c r="E152" s="1"/>
      <c r="F152" s="1"/>
      <c r="G152" s="4"/>
      <c r="H152" s="4"/>
      <c r="I152" s="1"/>
      <c r="J152" s="6"/>
    </row>
    <row r="153" spans="3:10" ht="15" x14ac:dyDescent="0.2">
      <c r="C153" s="4"/>
      <c r="D153" s="4"/>
      <c r="E153" s="1"/>
      <c r="F153" s="1"/>
      <c r="G153" s="4"/>
      <c r="H153" s="4"/>
      <c r="I153" s="1"/>
      <c r="J153" s="6"/>
    </row>
    <row r="154" spans="3:10" ht="15" x14ac:dyDescent="0.2">
      <c r="C154" s="4"/>
      <c r="D154" s="4"/>
      <c r="E154" s="1"/>
      <c r="F154" s="1"/>
      <c r="G154" s="4"/>
      <c r="H154" s="4"/>
      <c r="I154" s="1"/>
      <c r="J154" s="6"/>
    </row>
    <row r="155" spans="3:10" ht="15" x14ac:dyDescent="0.2">
      <c r="C155" s="4"/>
      <c r="D155" s="4"/>
      <c r="E155" s="1"/>
      <c r="F155" s="1"/>
      <c r="G155" s="4"/>
      <c r="H155" s="4"/>
      <c r="I155" s="1"/>
      <c r="J155" s="6"/>
    </row>
    <row r="156" spans="3:10" ht="15" x14ac:dyDescent="0.2">
      <c r="C156" s="4"/>
      <c r="D156" s="4"/>
      <c r="E156" s="1"/>
      <c r="F156" s="1"/>
      <c r="G156" s="4"/>
      <c r="H156" s="4"/>
      <c r="I156" s="1"/>
      <c r="J156" s="6"/>
    </row>
    <row r="157" spans="3:10" ht="15" x14ac:dyDescent="0.2">
      <c r="C157" s="4"/>
      <c r="D157" s="4"/>
      <c r="E157" s="1"/>
      <c r="F157" s="1"/>
      <c r="G157" s="4"/>
      <c r="H157" s="4"/>
      <c r="I157" s="1"/>
      <c r="J157" s="6"/>
    </row>
    <row r="158" spans="3:10" ht="15" x14ac:dyDescent="0.2">
      <c r="C158" s="4"/>
      <c r="D158" s="4"/>
      <c r="E158" s="1"/>
      <c r="F158" s="1"/>
      <c r="G158" s="4"/>
      <c r="H158" s="4"/>
      <c r="I158" s="1"/>
      <c r="J158" s="6"/>
    </row>
    <row r="159" spans="3:10" ht="15" x14ac:dyDescent="0.2">
      <c r="C159" s="4"/>
      <c r="D159" s="4"/>
      <c r="E159" s="1"/>
      <c r="F159" s="1"/>
      <c r="G159" s="4"/>
      <c r="H159" s="4"/>
      <c r="I159" s="1"/>
      <c r="J159" s="6"/>
    </row>
    <row r="160" spans="3:10" ht="15" x14ac:dyDescent="0.2">
      <c r="C160" s="4"/>
      <c r="D160" s="4"/>
      <c r="E160" s="1"/>
      <c r="F160" s="1"/>
      <c r="G160" s="4"/>
      <c r="H160" s="4"/>
      <c r="I160" s="1"/>
      <c r="J160" s="6"/>
    </row>
    <row r="161" spans="3:10" ht="15" x14ac:dyDescent="0.2">
      <c r="C161" s="4"/>
      <c r="D161" s="4"/>
      <c r="E161" s="1"/>
      <c r="F161" s="1"/>
      <c r="G161" s="4"/>
      <c r="H161" s="4"/>
      <c r="I161" s="1"/>
      <c r="J161" s="6"/>
    </row>
    <row r="162" spans="3:10" ht="15" x14ac:dyDescent="0.2">
      <c r="C162" s="4"/>
      <c r="D162" s="4"/>
      <c r="E162" s="1"/>
      <c r="F162" s="1"/>
      <c r="G162" s="4"/>
      <c r="H162" s="4"/>
      <c r="I162" s="1"/>
      <c r="J162" s="6"/>
    </row>
    <row r="163" spans="3:10" ht="15" x14ac:dyDescent="0.2">
      <c r="C163" s="4"/>
      <c r="D163" s="4"/>
      <c r="E163" s="1"/>
      <c r="F163" s="1"/>
      <c r="G163" s="4"/>
      <c r="H163" s="4"/>
      <c r="I163" s="1"/>
      <c r="J163" s="6"/>
    </row>
    <row r="164" spans="3:10" ht="15" x14ac:dyDescent="0.2">
      <c r="C164" s="4"/>
      <c r="D164" s="4"/>
      <c r="E164" s="1"/>
      <c r="F164" s="1"/>
      <c r="G164" s="4"/>
      <c r="H164" s="4"/>
      <c r="I164" s="1"/>
      <c r="J164" s="6"/>
    </row>
    <row r="165" spans="3:10" ht="15" x14ac:dyDescent="0.2">
      <c r="C165" s="4"/>
      <c r="D165" s="4"/>
      <c r="E165" s="1"/>
      <c r="F165" s="1"/>
      <c r="G165" s="4"/>
      <c r="H165" s="4"/>
      <c r="I165" s="1"/>
      <c r="J165" s="6"/>
    </row>
    <row r="166" spans="3:10" ht="15" x14ac:dyDescent="0.2">
      <c r="C166" s="4"/>
      <c r="D166" s="4"/>
      <c r="E166" s="1"/>
      <c r="F166" s="1"/>
      <c r="G166" s="4"/>
      <c r="H166" s="4"/>
      <c r="I166" s="1"/>
      <c r="J166" s="6"/>
    </row>
    <row r="167" spans="3:10" ht="15" x14ac:dyDescent="0.2">
      <c r="C167" s="4"/>
      <c r="D167" s="4"/>
      <c r="E167" s="1"/>
      <c r="F167" s="1"/>
      <c r="G167" s="4"/>
      <c r="H167" s="4"/>
      <c r="I167" s="1"/>
      <c r="J167" s="6"/>
    </row>
    <row r="168" spans="3:10" ht="15" x14ac:dyDescent="0.2">
      <c r="C168" s="4"/>
      <c r="D168" s="4"/>
      <c r="E168" s="1"/>
      <c r="F168" s="1"/>
      <c r="G168" s="4"/>
      <c r="H168" s="4"/>
      <c r="I168" s="1"/>
      <c r="J168" s="6"/>
    </row>
    <row r="169" spans="3:10" ht="15" x14ac:dyDescent="0.2">
      <c r="C169" s="4"/>
      <c r="D169" s="4"/>
      <c r="E169" s="1"/>
      <c r="F169" s="1"/>
      <c r="G169" s="4"/>
      <c r="H169" s="4"/>
      <c r="I169" s="1"/>
      <c r="J169" s="6"/>
    </row>
    <row r="170" spans="3:10" ht="15" x14ac:dyDescent="0.2">
      <c r="C170" s="4"/>
      <c r="D170" s="4"/>
      <c r="E170" s="1"/>
      <c r="F170" s="1"/>
      <c r="G170" s="4"/>
      <c r="H170" s="4"/>
      <c r="I170" s="1"/>
      <c r="J170" s="6"/>
    </row>
    <row r="171" spans="3:10" ht="15" x14ac:dyDescent="0.2">
      <c r="C171" s="4"/>
      <c r="D171" s="4"/>
      <c r="E171" s="1"/>
      <c r="F171" s="1"/>
      <c r="G171" s="4"/>
      <c r="H171" s="4"/>
      <c r="I171" s="1"/>
      <c r="J171" s="6"/>
    </row>
    <row r="172" spans="3:10" ht="15" x14ac:dyDescent="0.2">
      <c r="C172" s="4"/>
      <c r="D172" s="4"/>
      <c r="E172" s="1"/>
      <c r="F172" s="1"/>
      <c r="G172" s="4"/>
      <c r="H172" s="4"/>
      <c r="I172" s="1"/>
      <c r="J172" s="6"/>
    </row>
    <row r="173" spans="3:10" ht="15" x14ac:dyDescent="0.2">
      <c r="C173" s="4"/>
      <c r="D173" s="4"/>
      <c r="E173" s="1"/>
      <c r="F173" s="1"/>
      <c r="G173" s="4"/>
      <c r="H173" s="4"/>
      <c r="I173" s="1"/>
      <c r="J173" s="6"/>
    </row>
    <row r="174" spans="3:10" ht="15" x14ac:dyDescent="0.2">
      <c r="C174" s="4"/>
      <c r="D174" s="4"/>
      <c r="E174" s="1"/>
      <c r="F174" s="1"/>
      <c r="G174" s="4"/>
      <c r="H174" s="4"/>
      <c r="I174" s="1"/>
      <c r="J174" s="6"/>
    </row>
    <row r="175" spans="3:10" ht="15" x14ac:dyDescent="0.2">
      <c r="C175" s="4"/>
      <c r="D175" s="4"/>
      <c r="E175" s="1"/>
      <c r="F175" s="1"/>
      <c r="G175" s="4"/>
      <c r="H175" s="4"/>
      <c r="I175" s="1"/>
      <c r="J175" s="6"/>
    </row>
    <row r="176" spans="3:10" ht="15" x14ac:dyDescent="0.2">
      <c r="C176" s="4"/>
      <c r="D176" s="4"/>
      <c r="E176" s="1"/>
      <c r="F176" s="1"/>
      <c r="G176" s="4"/>
      <c r="H176" s="4"/>
      <c r="I176" s="1"/>
      <c r="J176" s="6"/>
    </row>
    <row r="177" spans="3:10" ht="15" x14ac:dyDescent="0.2">
      <c r="C177" s="4"/>
      <c r="D177" s="4"/>
      <c r="E177" s="1"/>
      <c r="F177" s="1"/>
      <c r="G177" s="4"/>
      <c r="H177" s="4"/>
      <c r="I177" s="1"/>
      <c r="J177" s="6"/>
    </row>
    <row r="178" spans="3:10" ht="15" x14ac:dyDescent="0.2">
      <c r="C178" s="4"/>
      <c r="D178" s="4"/>
      <c r="E178" s="1"/>
      <c r="F178" s="1"/>
      <c r="G178" s="4"/>
      <c r="H178" s="4"/>
      <c r="I178" s="1"/>
      <c r="J178" s="6"/>
    </row>
    <row r="179" spans="3:10" ht="15" x14ac:dyDescent="0.2">
      <c r="C179" s="4"/>
      <c r="D179" s="4"/>
      <c r="E179" s="1"/>
      <c r="F179" s="1"/>
      <c r="G179" s="4"/>
      <c r="H179" s="4"/>
      <c r="I179" s="1"/>
      <c r="J179" s="6"/>
    </row>
    <row r="180" spans="3:10" ht="15" x14ac:dyDescent="0.2">
      <c r="C180" s="4"/>
      <c r="D180" s="4"/>
      <c r="E180" s="1"/>
      <c r="F180" s="1"/>
      <c r="G180" s="4"/>
      <c r="H180" s="4"/>
      <c r="I180" s="1"/>
      <c r="J180" s="6"/>
    </row>
    <row r="181" spans="3:10" ht="15" x14ac:dyDescent="0.2">
      <c r="C181" s="4"/>
      <c r="D181" s="4"/>
      <c r="E181" s="1"/>
      <c r="F181" s="1"/>
      <c r="G181" s="4"/>
      <c r="H181" s="4"/>
      <c r="I181" s="1"/>
      <c r="J181" s="6"/>
    </row>
    <row r="182" spans="3:10" ht="15" x14ac:dyDescent="0.2">
      <c r="C182" s="4"/>
      <c r="D182" s="4"/>
      <c r="E182" s="1"/>
      <c r="F182" s="1"/>
      <c r="G182" s="4"/>
      <c r="H182" s="4"/>
      <c r="I182" s="1"/>
      <c r="J182" s="6"/>
    </row>
    <row r="183" spans="3:10" ht="15" x14ac:dyDescent="0.2">
      <c r="C183" s="4"/>
      <c r="D183" s="4"/>
      <c r="E183" s="1"/>
      <c r="F183" s="1"/>
      <c r="G183" s="4"/>
      <c r="H183" s="4"/>
      <c r="I183" s="1"/>
      <c r="J183" s="6"/>
    </row>
    <row r="184" spans="3:10" ht="15" x14ac:dyDescent="0.2">
      <c r="C184" s="4"/>
      <c r="D184" s="4"/>
      <c r="E184" s="1"/>
      <c r="F184" s="1"/>
      <c r="G184" s="4"/>
      <c r="H184" s="4"/>
      <c r="I184" s="1"/>
      <c r="J184" s="6"/>
    </row>
    <row r="185" spans="3:10" ht="15" x14ac:dyDescent="0.2">
      <c r="C185" s="4"/>
      <c r="D185" s="4"/>
      <c r="E185" s="1"/>
      <c r="F185" s="1"/>
      <c r="G185" s="4"/>
      <c r="H185" s="4"/>
      <c r="I185" s="1"/>
      <c r="J185" s="6"/>
    </row>
  </sheetData>
  <autoFilter ref="C2:J122"/>
  <mergeCells count="6">
    <mergeCell ref="C1:J1"/>
    <mergeCell ref="C116:C117"/>
    <mergeCell ref="B116:B117"/>
    <mergeCell ref="D116:D117"/>
    <mergeCell ref="H116:H117"/>
    <mergeCell ref="J116:J117"/>
  </mergeCells>
  <pageMargins left="0.19685039370078741" right="0.19685039370078741" top="0.39370078740157483" bottom="0.39370078740157483" header="0" footer="0"/>
  <pageSetup paperSize="9" scale="42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JAN.17 a FEV.18</vt:lpstr>
      <vt:lpstr>MAR.18 e JAN.19</vt:lpstr>
      <vt:lpstr>JAN.19 e DEZ.19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Fabrício Bezerra Queiroz</dc:creator>
  <cp:lastModifiedBy>Eric Santos Silva</cp:lastModifiedBy>
  <cp:lastPrinted>2019-05-07T12:58:35Z</cp:lastPrinted>
  <dcterms:created xsi:type="dcterms:W3CDTF">2017-06-02T18:04:17Z</dcterms:created>
  <dcterms:modified xsi:type="dcterms:W3CDTF">2019-09-13T19:04:51Z</dcterms:modified>
</cp:coreProperties>
</file>